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zerocarbonshipping.sharepoint.com/sites/400452/Delte dokumenter/General/4. Modeling and data/1. NZF Compliance Cost Calculator/"/>
    </mc:Choice>
  </mc:AlternateContent>
  <xr:revisionPtr revIDLastSave="3893" documentId="8_{BF063188-3A28-4606-85C3-5EEDD89C85C1}" xr6:coauthVersionLast="47" xr6:coauthVersionMax="47" xr10:uidLastSave="{E277048F-7068-40C9-B889-D795A686017B}"/>
  <bookViews>
    <workbookView xWindow="-80" yWindow="-80" windowWidth="19360" windowHeight="11440" xr2:uid="{00000000-000D-0000-FFFF-FFFF00000000}"/>
  </bookViews>
  <sheets>
    <sheet name="CCC Summary" sheetId="13" r:id="rId1"/>
    <sheet name="Calculations" sheetId="14" r:id="rId2"/>
    <sheet name="Data" sheetId="15" r:id="rId3"/>
    <sheet name="IMO GFI" sheetId="17" r:id="rId4"/>
  </sheets>
  <externalReferences>
    <externalReference r:id="rId5"/>
  </externalReferences>
  <definedNames>
    <definedName name="__Ampler.Charts.0a6d1a90283444afb12196d473f6545a" localSheetId="1" hidden="1">#REF!</definedName>
    <definedName name="__Ampler.Charts.0a6d1a90283444afb12196d473f6545a" localSheetId="0" hidden="1">'CCC Summary'!#REF!</definedName>
    <definedName name="__Ampler.Charts.0a6d1a90283444afb12196d473f6545a" hidden="1">#REF!</definedName>
    <definedName name="__Ampler.Charts.34f1c03d97b345f9a4353d08cf28e475" localSheetId="1" hidden="1">[1]RouteAssessment!#REF!</definedName>
    <definedName name="__Ampler.Charts.34f1c03d97b345f9a4353d08cf28e475" localSheetId="0" hidden="1">[1]RouteAssessment!#REF!</definedName>
    <definedName name="__Ampler.Charts.34f1c03d97b345f9a4353d08cf28e475" hidden="1">#REF!</definedName>
    <definedName name="__Ampler.Charts.4949497296a941e7b1dd898b06a43188" localSheetId="1" hidden="1">#REF!</definedName>
    <definedName name="__Ampler.Charts.4949497296a941e7b1dd898b06a43188" localSheetId="0" hidden="1">'CCC Summary'!#REF!</definedName>
    <definedName name="__Ampler.Charts.4949497296a941e7b1dd898b06a43188" hidden="1">#REF!</definedName>
    <definedName name="__Ampler.Charts.4db02dabf638459889fa4705ee1aa0e7" localSheetId="1" hidden="1">#REF!</definedName>
    <definedName name="__Ampler.Charts.4db02dabf638459889fa4705ee1aa0e7" localSheetId="0" hidden="1">'CCC Summary'!#REF!</definedName>
    <definedName name="__Ampler.Charts.4db02dabf638459889fa4705ee1aa0e7" hidden="1">#REF!</definedName>
    <definedName name="__Ampler.Charts.4dbcb68e429b4e53b9337bb3cf75a6b2" localSheetId="1" hidden="1">#REF!</definedName>
    <definedName name="__Ampler.Charts.4dbcb68e429b4e53b9337bb3cf75a6b2" localSheetId="0" hidden="1">#REF!</definedName>
    <definedName name="__Ampler.Charts.4dbcb68e429b4e53b9337bb3cf75a6b2" hidden="1">#REF!</definedName>
    <definedName name="__Ampler.Charts.4eeae91c0b67498a8a436f0c0c38dece" localSheetId="1" hidden="1">[1]RouteAssessment!#REF!</definedName>
    <definedName name="__Ampler.Charts.4eeae91c0b67498a8a436f0c0c38dece" localSheetId="0" hidden="1">[1]RouteAssessment!#REF!</definedName>
    <definedName name="__Ampler.Charts.4eeae91c0b67498a8a436f0c0c38dece" hidden="1">#REF!</definedName>
    <definedName name="__Ampler.Charts.5728b5bb58e949dfa3a26fa526f1025b" localSheetId="1" hidden="1">[1]RouteAssessment!#REF!</definedName>
    <definedName name="__Ampler.Charts.5728b5bb58e949dfa3a26fa526f1025b" localSheetId="0" hidden="1">[1]RouteAssessment!#REF!</definedName>
    <definedName name="__Ampler.Charts.5728b5bb58e949dfa3a26fa526f1025b" hidden="1">#REF!</definedName>
    <definedName name="__Ampler.Charts.68bc14e0267446caab76e6e7a191a791" localSheetId="1" hidden="1">#REF!</definedName>
    <definedName name="__Ampler.Charts.68bc14e0267446caab76e6e7a191a791" localSheetId="0" hidden="1">'CCC Summary'!#REF!</definedName>
    <definedName name="__Ampler.Charts.68bc14e0267446caab76e6e7a191a791" hidden="1">#REF!</definedName>
    <definedName name="__Ampler.Charts.75a81f14f29d46e0b4e39cf665ff6370" localSheetId="1" hidden="1">[1]RouteAssessment!#REF!</definedName>
    <definedName name="__Ampler.Charts.75a81f14f29d46e0b4e39cf665ff6370" localSheetId="0" hidden="1">[1]RouteAssessment!#REF!</definedName>
    <definedName name="__Ampler.Charts.75a81f14f29d46e0b4e39cf665ff6370" hidden="1">#REF!</definedName>
    <definedName name="__Ampler.Charts.95df8f6dc046443690eba9763d4c43b9" localSheetId="1" hidden="1">#REF!</definedName>
    <definedName name="__Ampler.Charts.95df8f6dc046443690eba9763d4c43b9" localSheetId="0" hidden="1">'CCC Summary'!#REF!</definedName>
    <definedName name="__Ampler.Charts.95df8f6dc046443690eba9763d4c43b9" hidden="1">#REF!</definedName>
    <definedName name="__Ampler.Charts.ac3a886e354c4182957999ac64699388" localSheetId="1" hidden="1">#REF!</definedName>
    <definedName name="__Ampler.Charts.ac3a886e354c4182957999ac64699388" localSheetId="0" hidden="1">'CCC Summary'!#REF!</definedName>
    <definedName name="__Ampler.Charts.ac3a886e354c4182957999ac64699388" hidden="1">#REF!</definedName>
    <definedName name="__Ampler.Charts.c817a1644e39488c8e9e7ad399afe5e3" localSheetId="1" hidden="1">#REF!</definedName>
    <definedName name="__Ampler.Charts.c817a1644e39488c8e9e7ad399afe5e3" localSheetId="0" hidden="1">#REF!</definedName>
    <definedName name="__Ampler.Charts.c817a1644e39488c8e9e7ad399afe5e3" hidden="1">#REF!</definedName>
    <definedName name="__Ampler.Charts.ccf74908bffc4081a620e52ce9827f62" localSheetId="1" hidden="1">[1]RouteAssessment!#REF!</definedName>
    <definedName name="__Ampler.Charts.ccf74908bffc4081a620e52ce9827f62" localSheetId="0" hidden="1">[1]RouteAssessment!#REF!</definedName>
    <definedName name="__Ampler.Charts.ccf74908bffc4081a620e52ce9827f62" hidden="1">#REF!</definedName>
    <definedName name="__Ampler.Charts.e84d9270cbb94356a40d81dc703d7694" localSheetId="1" hidden="1">#REF!</definedName>
    <definedName name="__Ampler.Charts.e84d9270cbb94356a40d81dc703d7694" localSheetId="0" hidden="1">'CCC Summary'!#REF!</definedName>
    <definedName name="__Ampler.Charts.e84d9270cbb94356a40d81dc703d7694" hidden="1">#REF!</definedName>
    <definedName name="__Ampler.Charts.fa765f69abe84d24a3c4c841a6828b6f" localSheetId="1" hidden="1">#REF!</definedName>
    <definedName name="__Ampler.Charts.fa765f69abe84d24a3c4c841a6828b6f" localSheetId="0" hidden="1">'CCC Summary'!#REF!</definedName>
    <definedName name="__Ampler.Charts.fa765f69abe84d24a3c4c841a6828b6f"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5" l="1"/>
  <c r="H46" i="14"/>
  <c r="J97" i="14"/>
  <c r="D54" i="13" l="1"/>
  <c r="B15" i="13"/>
  <c r="D26" i="15"/>
  <c r="K26" i="15" s="1"/>
  <c r="U26" i="15" l="1"/>
  <c r="T26" i="15"/>
  <c r="S26" i="15"/>
  <c r="J26" i="15"/>
  <c r="H26" i="15"/>
  <c r="V26" i="15"/>
  <c r="R26" i="15"/>
  <c r="Q26" i="15"/>
  <c r="I26" i="15"/>
  <c r="M26" i="15"/>
  <c r="L26" i="15"/>
  <c r="P26" i="15"/>
  <c r="AA26" i="15"/>
  <c r="O26" i="15"/>
  <c r="Z26" i="15"/>
  <c r="N26" i="15"/>
  <c r="Y26" i="15"/>
  <c r="X26" i="15"/>
  <c r="W26" i="15"/>
  <c r="D52" i="13" l="1"/>
  <c r="B52" i="13" l="1"/>
  <c r="F37" i="15"/>
  <c r="D6" i="14"/>
  <c r="C15" i="15"/>
  <c r="E25" i="15"/>
  <c r="G7" i="17" l="1"/>
  <c r="G6" i="17"/>
  <c r="G42" i="13" l="1"/>
  <c r="G41" i="13"/>
  <c r="D76" i="14" l="1"/>
  <c r="G46" i="13"/>
  <c r="D59" i="14"/>
  <c r="H7" i="17" l="1"/>
  <c r="I11" i="14" l="1"/>
  <c r="I12" i="14" s="1"/>
  <c r="J11" i="14"/>
  <c r="J12" i="14" s="1"/>
  <c r="K11" i="14"/>
  <c r="K12" i="14" s="1"/>
  <c r="L11" i="14"/>
  <c r="L12" i="14" s="1"/>
  <c r="M11" i="14"/>
  <c r="M12" i="14" s="1"/>
  <c r="N11" i="14"/>
  <c r="O11" i="14"/>
  <c r="P11" i="14"/>
  <c r="Q11" i="14"/>
  <c r="R11" i="14"/>
  <c r="S11" i="14"/>
  <c r="T11" i="14"/>
  <c r="I26" i="14"/>
  <c r="J26" i="14"/>
  <c r="K26" i="14"/>
  <c r="L26" i="14"/>
  <c r="M26" i="14"/>
  <c r="M27" i="14" s="1"/>
  <c r="N26" i="14"/>
  <c r="N27" i="14" s="1"/>
  <c r="O26" i="14"/>
  <c r="O27" i="14" s="1"/>
  <c r="P26" i="14"/>
  <c r="P27" i="14" s="1"/>
  <c r="Q26" i="14"/>
  <c r="Q27" i="14" s="1"/>
  <c r="R26" i="14"/>
  <c r="R27" i="14" s="1"/>
  <c r="S26" i="14"/>
  <c r="S27" i="14" s="1"/>
  <c r="T26" i="14"/>
  <c r="B54" i="13"/>
  <c r="B47" i="13"/>
  <c r="B33" i="13"/>
  <c r="B28" i="13"/>
  <c r="M53" i="14" l="1"/>
  <c r="S12" i="14"/>
  <c r="R12" i="14"/>
  <c r="K27" i="14"/>
  <c r="K53" i="14" s="1"/>
  <c r="T12" i="14"/>
  <c r="L27" i="14"/>
  <c r="L53" i="14" s="1"/>
  <c r="J27" i="14"/>
  <c r="J53" i="14" s="1"/>
  <c r="I27" i="14"/>
  <c r="I53" i="14" s="1"/>
  <c r="O12" i="14"/>
  <c r="T27" i="14"/>
  <c r="N12" i="14"/>
  <c r="Q12" i="14"/>
  <c r="P12" i="14"/>
  <c r="N53" i="14" l="1"/>
  <c r="O53" i="14"/>
  <c r="S53" i="14"/>
  <c r="Q53" i="14"/>
  <c r="R53" i="14"/>
  <c r="T53" i="14"/>
  <c r="P53" i="14"/>
  <c r="H4" i="14" l="1"/>
  <c r="H5" i="14"/>
  <c r="H15" i="15"/>
  <c r="K46" i="14" s="1"/>
  <c r="I15" i="15"/>
  <c r="J15" i="15"/>
  <c r="K15" i="15"/>
  <c r="L15" i="15"/>
  <c r="M15" i="15"/>
  <c r="N15" i="15"/>
  <c r="O15" i="15"/>
  <c r="P15" i="15"/>
  <c r="Q15" i="15"/>
  <c r="R15" i="15"/>
  <c r="S15" i="15"/>
  <c r="T15" i="15"/>
  <c r="U15" i="15"/>
  <c r="V15" i="15"/>
  <c r="W15" i="15"/>
  <c r="X15" i="15"/>
  <c r="Y15" i="15"/>
  <c r="Z15" i="15"/>
  <c r="AA15" i="15"/>
  <c r="F25" i="15"/>
  <c r="G25" i="15"/>
  <c r="H25" i="15"/>
  <c r="I25" i="15"/>
  <c r="J25" i="15"/>
  <c r="K25" i="15"/>
  <c r="L25" i="15"/>
  <c r="M25" i="15"/>
  <c r="N25" i="15"/>
  <c r="O25" i="15"/>
  <c r="P25" i="15"/>
  <c r="Q25" i="15"/>
  <c r="R25" i="15"/>
  <c r="S25" i="15"/>
  <c r="T25" i="15"/>
  <c r="U25" i="15"/>
  <c r="V25" i="15"/>
  <c r="W25" i="15"/>
  <c r="X25" i="15"/>
  <c r="Y25" i="15"/>
  <c r="Z25" i="15"/>
  <c r="AA25" i="15"/>
  <c r="G26" i="15" l="1"/>
  <c r="G15" i="15" s="1"/>
  <c r="F26" i="15"/>
  <c r="F15" i="15" s="1"/>
  <c r="E26" i="15"/>
  <c r="E15" i="15" s="1"/>
  <c r="G15" i="17" l="1"/>
  <c r="G16" i="17"/>
  <c r="H16" i="17" s="1"/>
  <c r="I16" i="17" s="1"/>
  <c r="G17" i="17"/>
  <c r="G18" i="17"/>
  <c r="G19" i="17"/>
  <c r="G20" i="17"/>
  <c r="H20" i="17" s="1"/>
  <c r="I20" i="17" s="1"/>
  <c r="G21" i="17"/>
  <c r="H21" i="17" s="1"/>
  <c r="G22" i="17"/>
  <c r="G23" i="17"/>
  <c r="H23" i="17" s="1"/>
  <c r="G24" i="17"/>
  <c r="H24" i="17" s="1"/>
  <c r="I24" i="17" s="1"/>
  <c r="G25" i="17"/>
  <c r="G26" i="17"/>
  <c r="H26" i="17" s="1"/>
  <c r="G27" i="17"/>
  <c r="G28" i="17"/>
  <c r="G29" i="17"/>
  <c r="H29" i="17" s="1"/>
  <c r="D14" i="17"/>
  <c r="C50" i="13"/>
  <c r="D7" i="17"/>
  <c r="D34" i="14"/>
  <c r="F9" i="17"/>
  <c r="F10" i="17"/>
  <c r="F11" i="17"/>
  <c r="F12" i="17"/>
  <c r="F13" i="17"/>
  <c r="F14" i="17"/>
  <c r="F7" i="17"/>
  <c r="D8" i="17"/>
  <c r="D9" i="17"/>
  <c r="D10" i="17"/>
  <c r="D11" i="17"/>
  <c r="D12" i="17"/>
  <c r="D13" i="17"/>
  <c r="D19" i="17"/>
  <c r="H11" i="14"/>
  <c r="H26" i="14"/>
  <c r="I4" i="14"/>
  <c r="J4" i="14"/>
  <c r="K4" i="14"/>
  <c r="L4" i="14"/>
  <c r="M4" i="14"/>
  <c r="N4" i="14"/>
  <c r="O4" i="14"/>
  <c r="P4" i="14"/>
  <c r="Q4" i="14"/>
  <c r="R4" i="14"/>
  <c r="S4" i="14"/>
  <c r="T4" i="14"/>
  <c r="I5" i="14"/>
  <c r="J5" i="14"/>
  <c r="K5" i="14"/>
  <c r="L5" i="14"/>
  <c r="M5" i="14"/>
  <c r="N5" i="14"/>
  <c r="O5" i="14"/>
  <c r="P5" i="14"/>
  <c r="Q5" i="14"/>
  <c r="R5" i="14"/>
  <c r="S5" i="14"/>
  <c r="T5" i="14"/>
  <c r="H7" i="14"/>
  <c r="E21" i="15"/>
  <c r="F21" i="15"/>
  <c r="G21" i="15"/>
  <c r="H21" i="15"/>
  <c r="I21" i="15"/>
  <c r="J21" i="15"/>
  <c r="K21" i="15"/>
  <c r="L21" i="15"/>
  <c r="M21" i="15"/>
  <c r="N21" i="15"/>
  <c r="O21" i="15"/>
  <c r="P21" i="15"/>
  <c r="Q21" i="15"/>
  <c r="R21" i="15"/>
  <c r="S21" i="15"/>
  <c r="T21" i="15"/>
  <c r="U21" i="15"/>
  <c r="V21" i="15"/>
  <c r="W21" i="15"/>
  <c r="X21" i="15"/>
  <c r="Y21" i="15"/>
  <c r="Z21" i="15"/>
  <c r="AA21" i="15"/>
  <c r="E33" i="15"/>
  <c r="F33" i="15"/>
  <c r="G33" i="15"/>
  <c r="H33" i="15"/>
  <c r="I33" i="15"/>
  <c r="J33" i="15"/>
  <c r="K33" i="15"/>
  <c r="L33" i="15"/>
  <c r="M33" i="15"/>
  <c r="N33" i="15"/>
  <c r="O33" i="15"/>
  <c r="P33" i="15"/>
  <c r="Q33" i="15"/>
  <c r="R33" i="15"/>
  <c r="S33" i="15"/>
  <c r="T33" i="15"/>
  <c r="U33" i="15"/>
  <c r="V33" i="15"/>
  <c r="W33" i="15"/>
  <c r="X33" i="15"/>
  <c r="Y33" i="15"/>
  <c r="Z33" i="15"/>
  <c r="AA33" i="15"/>
  <c r="H28" i="17"/>
  <c r="I28" i="17" s="1"/>
  <c r="H27" i="17"/>
  <c r="G14" i="17"/>
  <c r="G13" i="17"/>
  <c r="H13" i="17" s="1"/>
  <c r="I13" i="17" s="1"/>
  <c r="G12" i="17"/>
  <c r="H12" i="17" s="1"/>
  <c r="G11" i="17"/>
  <c r="H11" i="17" s="1"/>
  <c r="G10" i="17"/>
  <c r="H10" i="17" s="1"/>
  <c r="I10" i="17" s="1"/>
  <c r="G9" i="17"/>
  <c r="G8" i="17"/>
  <c r="H8" i="17" s="1"/>
  <c r="F8" i="17"/>
  <c r="J14" i="14" l="1"/>
  <c r="K34" i="14"/>
  <c r="K6" i="14" s="1"/>
  <c r="K86" i="14" s="1"/>
  <c r="R34" i="14"/>
  <c r="R6" i="14" s="1"/>
  <c r="R86" i="14" s="1"/>
  <c r="I34" i="14"/>
  <c r="I6" i="14" s="1"/>
  <c r="I86" i="14" s="1"/>
  <c r="J34" i="14"/>
  <c r="J38" i="14" s="1"/>
  <c r="L34" i="14"/>
  <c r="L6" i="14" s="1"/>
  <c r="L86" i="14" s="1"/>
  <c r="M34" i="14"/>
  <c r="M6" i="14" s="1"/>
  <c r="M86" i="14" s="1"/>
  <c r="P34" i="14"/>
  <c r="P6" i="14" s="1"/>
  <c r="P86" i="14" s="1"/>
  <c r="Q34" i="14"/>
  <c r="Q6" i="14" s="1"/>
  <c r="Q86" i="14" s="1"/>
  <c r="T34" i="14"/>
  <c r="T6" i="14" s="1"/>
  <c r="T86" i="14" s="1"/>
  <c r="N34" i="14"/>
  <c r="N6" i="14" s="1"/>
  <c r="N86" i="14" s="1"/>
  <c r="O34" i="14"/>
  <c r="O6" i="14" s="1"/>
  <c r="O86" i="14" s="1"/>
  <c r="S34" i="14"/>
  <c r="S6" i="14" s="1"/>
  <c r="S86" i="14" s="1"/>
  <c r="H27" i="14"/>
  <c r="H28" i="14"/>
  <c r="H14" i="14"/>
  <c r="H17" i="14" s="1"/>
  <c r="H13" i="14"/>
  <c r="H16" i="14" s="1"/>
  <c r="P28" i="14"/>
  <c r="P13" i="14"/>
  <c r="P7" i="14"/>
  <c r="P14" i="14"/>
  <c r="P17" i="14" s="1"/>
  <c r="N28" i="14"/>
  <c r="N13" i="14"/>
  <c r="M13" i="14"/>
  <c r="M28" i="14"/>
  <c r="N7" i="14"/>
  <c r="N14" i="14"/>
  <c r="N17" i="14" s="1"/>
  <c r="M7" i="14"/>
  <c r="M14" i="14"/>
  <c r="M17" i="14" s="1"/>
  <c r="K13" i="14"/>
  <c r="K28" i="14"/>
  <c r="L7" i="14"/>
  <c r="L14" i="14"/>
  <c r="L17" i="14" s="1"/>
  <c r="J13" i="14"/>
  <c r="J28" i="14"/>
  <c r="K7" i="14"/>
  <c r="K14" i="14"/>
  <c r="K17" i="14" s="1"/>
  <c r="I13" i="14"/>
  <c r="I28" i="14"/>
  <c r="Q7" i="14"/>
  <c r="Q14" i="14"/>
  <c r="Q17" i="14" s="1"/>
  <c r="J7" i="14"/>
  <c r="J17" i="14"/>
  <c r="J93" i="14" s="1"/>
  <c r="J99" i="14" s="1"/>
  <c r="T13" i="14"/>
  <c r="T28" i="14"/>
  <c r="R7" i="14"/>
  <c r="R14" i="14"/>
  <c r="R17" i="14" s="1"/>
  <c r="O28" i="14"/>
  <c r="O13" i="14"/>
  <c r="O7" i="14"/>
  <c r="O14" i="14"/>
  <c r="O17" i="14" s="1"/>
  <c r="L13" i="14"/>
  <c r="L28" i="14"/>
  <c r="I7" i="14"/>
  <c r="I14" i="14"/>
  <c r="I17" i="14" s="1"/>
  <c r="S28" i="14"/>
  <c r="S13" i="14"/>
  <c r="T7" i="14"/>
  <c r="T14" i="14"/>
  <c r="T17" i="14" s="1"/>
  <c r="R28" i="14"/>
  <c r="R13" i="14"/>
  <c r="S7" i="14"/>
  <c r="S14" i="14"/>
  <c r="S17" i="14" s="1"/>
  <c r="Q28" i="14"/>
  <c r="Q13" i="14"/>
  <c r="H12" i="14"/>
  <c r="H34" i="14"/>
  <c r="I7" i="17"/>
  <c r="H17" i="17"/>
  <c r="I17" i="17" s="1"/>
  <c r="I21" i="17"/>
  <c r="I29" i="17"/>
  <c r="I8" i="17"/>
  <c r="H14" i="17"/>
  <c r="I14" i="17" s="1"/>
  <c r="H18" i="17"/>
  <c r="I18" i="17" s="1"/>
  <c r="H22" i="17"/>
  <c r="I22" i="17" s="1"/>
  <c r="I11" i="17"/>
  <c r="I26" i="17"/>
  <c r="H15" i="17"/>
  <c r="I15" i="17" s="1"/>
  <c r="H19" i="17"/>
  <c r="I19" i="17" s="1"/>
  <c r="H6" i="17"/>
  <c r="I6" i="17" s="1"/>
  <c r="H9" i="17"/>
  <c r="I9" i="17" s="1"/>
  <c r="I23" i="17"/>
  <c r="I27" i="17"/>
  <c r="I12" i="17"/>
  <c r="H25" i="17"/>
  <c r="I25" i="17" s="1"/>
  <c r="J6" i="14" l="1"/>
  <c r="J86" i="14" s="1"/>
  <c r="J109" i="14"/>
  <c r="N50" i="13"/>
  <c r="L58" i="14"/>
  <c r="L93" i="14"/>
  <c r="P58" i="14"/>
  <c r="P93" i="14"/>
  <c r="I58" i="14"/>
  <c r="I93" i="14"/>
  <c r="J58" i="14"/>
  <c r="Q58" i="14"/>
  <c r="Q93" i="14"/>
  <c r="M58" i="14"/>
  <c r="M93" i="14"/>
  <c r="H58" i="14"/>
  <c r="H93" i="14"/>
  <c r="O58" i="14"/>
  <c r="O93" i="14"/>
  <c r="N58" i="14"/>
  <c r="N93" i="14"/>
  <c r="T58" i="14"/>
  <c r="T93" i="14"/>
  <c r="R58" i="14"/>
  <c r="R93" i="14"/>
  <c r="S58" i="14"/>
  <c r="S93" i="14"/>
  <c r="K58" i="14"/>
  <c r="K93" i="14"/>
  <c r="H53" i="14"/>
  <c r="H6" i="14"/>
  <c r="H86" i="14" s="1"/>
  <c r="H109" i="14"/>
  <c r="R37" i="14"/>
  <c r="R107" i="14" s="1"/>
  <c r="R113" i="14" s="1"/>
  <c r="S36" i="14"/>
  <c r="J36" i="14"/>
  <c r="T36" i="14"/>
  <c r="I36" i="14"/>
  <c r="I38" i="14"/>
  <c r="R38" i="14"/>
  <c r="O36" i="14"/>
  <c r="K38" i="14"/>
  <c r="P38" i="14"/>
  <c r="N37" i="14"/>
  <c r="N107" i="14" s="1"/>
  <c r="N113" i="14" s="1"/>
  <c r="Q36" i="14"/>
  <c r="L37" i="14"/>
  <c r="L107" i="14" s="1"/>
  <c r="L113" i="14" s="1"/>
  <c r="T38" i="14"/>
  <c r="T37" i="14"/>
  <c r="T107" i="14" s="1"/>
  <c r="T113" i="14" s="1"/>
  <c r="H35" i="14"/>
  <c r="H87" i="14" s="1"/>
  <c r="I37" i="14"/>
  <c r="I107" i="14" s="1"/>
  <c r="I113" i="14" s="1"/>
  <c r="N38" i="14"/>
  <c r="J37" i="14"/>
  <c r="J107" i="14" s="1"/>
  <c r="J113" i="14" s="1"/>
  <c r="O38" i="14"/>
  <c r="K36" i="14"/>
  <c r="K37" i="14"/>
  <c r="K107" i="14" s="1"/>
  <c r="K113" i="14" s="1"/>
  <c r="I35" i="14"/>
  <c r="I87" i="14" s="1"/>
  <c r="I109" i="14"/>
  <c r="S37" i="14"/>
  <c r="S107" i="14" s="1"/>
  <c r="S113" i="14" s="1"/>
  <c r="L36" i="14"/>
  <c r="R109" i="14"/>
  <c r="R35" i="14"/>
  <c r="R87" i="14" s="1"/>
  <c r="R36" i="14"/>
  <c r="Q109" i="14"/>
  <c r="Q35" i="14"/>
  <c r="Q87" i="14" s="1"/>
  <c r="P109" i="14"/>
  <c r="P35" i="14"/>
  <c r="P87" i="14" s="1"/>
  <c r="P37" i="14"/>
  <c r="P107" i="14" s="1"/>
  <c r="P113" i="14" s="1"/>
  <c r="S109" i="14"/>
  <c r="S35" i="14"/>
  <c r="S87" i="14" s="1"/>
  <c r="M109" i="14"/>
  <c r="M35" i="14"/>
  <c r="M87" i="14" s="1"/>
  <c r="Q38" i="14"/>
  <c r="L109" i="14"/>
  <c r="L35" i="14"/>
  <c r="L87" i="14" s="1"/>
  <c r="S38" i="14"/>
  <c r="Q37" i="14"/>
  <c r="Q107" i="14" s="1"/>
  <c r="Q113" i="14" s="1"/>
  <c r="M36" i="14"/>
  <c r="O109" i="14"/>
  <c r="O35" i="14"/>
  <c r="O87" i="14" s="1"/>
  <c r="J35" i="14"/>
  <c r="J87" i="14" s="1"/>
  <c r="P36" i="14"/>
  <c r="N35" i="14"/>
  <c r="N87" i="14" s="1"/>
  <c r="N109" i="14"/>
  <c r="L38" i="14"/>
  <c r="M37" i="14"/>
  <c r="M107" i="14" s="1"/>
  <c r="M113" i="14" s="1"/>
  <c r="O37" i="14"/>
  <c r="O107" i="14" s="1"/>
  <c r="O113" i="14" s="1"/>
  <c r="M38" i="14"/>
  <c r="N36" i="14"/>
  <c r="T109" i="14"/>
  <c r="T35" i="14"/>
  <c r="T87" i="14" s="1"/>
  <c r="K109" i="14"/>
  <c r="K35" i="14"/>
  <c r="K87" i="14" s="1"/>
  <c r="H36" i="14"/>
  <c r="H106" i="14" s="1"/>
  <c r="H112" i="14" s="1"/>
  <c r="H37" i="14"/>
  <c r="H107" i="14" s="1"/>
  <c r="H113" i="14" s="1"/>
  <c r="H38" i="14"/>
  <c r="H110" i="14" l="1"/>
  <c r="H115" i="14" s="1"/>
  <c r="T110" i="14"/>
  <c r="T115" i="14" s="1"/>
  <c r="S110" i="14"/>
  <c r="S115" i="14" s="1"/>
  <c r="L110" i="14"/>
  <c r="L115" i="14" s="1"/>
  <c r="K110" i="14"/>
  <c r="K115" i="14" s="1"/>
  <c r="J110" i="14"/>
  <c r="J115" i="14" s="1"/>
  <c r="O110" i="14"/>
  <c r="O115" i="14" s="1"/>
  <c r="I110" i="14"/>
  <c r="I115" i="14" s="1"/>
  <c r="R110" i="14"/>
  <c r="R115" i="14" s="1"/>
  <c r="M110" i="14"/>
  <c r="M115" i="14" s="1"/>
  <c r="P110" i="14"/>
  <c r="P115" i="14" s="1"/>
  <c r="N110" i="14"/>
  <c r="N115" i="14" s="1"/>
  <c r="Q110" i="14"/>
  <c r="Q115" i="14" s="1"/>
  <c r="AA37" i="15"/>
  <c r="Z37" i="15"/>
  <c r="Y37" i="15"/>
  <c r="X37" i="15"/>
  <c r="W37" i="15"/>
  <c r="V37" i="15"/>
  <c r="U37" i="15"/>
  <c r="T37" i="15"/>
  <c r="S37" i="15"/>
  <c r="R37" i="15"/>
  <c r="Q37" i="15"/>
  <c r="P37" i="15"/>
  <c r="O37" i="15"/>
  <c r="N37" i="15"/>
  <c r="M37" i="15"/>
  <c r="L37" i="15"/>
  <c r="K37" i="15"/>
  <c r="J37" i="15"/>
  <c r="I37" i="15"/>
  <c r="H37" i="15"/>
  <c r="G37" i="15"/>
  <c r="E37" i="15"/>
  <c r="D45" i="14"/>
  <c r="D44" i="14"/>
  <c r="D43" i="14"/>
  <c r="F39" i="14"/>
  <c r="D39" i="14"/>
  <c r="F33" i="14"/>
  <c r="D33" i="14"/>
  <c r="F29" i="14"/>
  <c r="D29" i="14"/>
  <c r="F23" i="14"/>
  <c r="D23" i="14"/>
  <c r="D18" i="14"/>
  <c r="F15" i="14"/>
  <c r="D15" i="14"/>
  <c r="P46" i="13"/>
  <c r="M46" i="13"/>
  <c r="J46" i="13"/>
  <c r="B40" i="13"/>
  <c r="J43" i="14" l="1"/>
  <c r="M43" i="14"/>
  <c r="O43" i="14"/>
  <c r="Q43" i="14"/>
  <c r="S43" i="14"/>
  <c r="I43" i="14"/>
  <c r="K43" i="14"/>
  <c r="L43" i="14"/>
  <c r="N43" i="14"/>
  <c r="P43" i="14"/>
  <c r="R43" i="14"/>
  <c r="T43" i="14"/>
  <c r="H43" i="14"/>
  <c r="J39" i="14"/>
  <c r="R39" i="14"/>
  <c r="T39" i="14"/>
  <c r="N39" i="14"/>
  <c r="P39" i="14"/>
  <c r="I39" i="14"/>
  <c r="K39" i="14"/>
  <c r="K85" i="14" s="1"/>
  <c r="K88" i="14" s="1"/>
  <c r="S39" i="14"/>
  <c r="H39" i="14"/>
  <c r="O39" i="14"/>
  <c r="Q39" i="14"/>
  <c r="L39" i="14"/>
  <c r="M39" i="14"/>
  <c r="K33" i="14"/>
  <c r="L33" i="14"/>
  <c r="J33" i="14"/>
  <c r="M33" i="14"/>
  <c r="N33" i="14"/>
  <c r="O33" i="14"/>
  <c r="R33" i="14"/>
  <c r="H33" i="14"/>
  <c r="T33" i="14"/>
  <c r="P33" i="14"/>
  <c r="Q33" i="14"/>
  <c r="S33" i="14"/>
  <c r="I33" i="14"/>
  <c r="I23" i="14"/>
  <c r="J23" i="14"/>
  <c r="K23" i="14"/>
  <c r="Q23" i="14"/>
  <c r="L23" i="14"/>
  <c r="M23" i="14"/>
  <c r="P23" i="14"/>
  <c r="R23" i="14"/>
  <c r="S23" i="14"/>
  <c r="T23" i="14"/>
  <c r="N23" i="14"/>
  <c r="O23" i="14"/>
  <c r="H23" i="14"/>
  <c r="H76" i="14" s="1"/>
  <c r="I18" i="14"/>
  <c r="K18" i="14"/>
  <c r="L18" i="14"/>
  <c r="J18" i="14"/>
  <c r="T18" i="14"/>
  <c r="M18" i="14"/>
  <c r="O18" i="14"/>
  <c r="P18" i="14"/>
  <c r="R18" i="14"/>
  <c r="S18" i="14"/>
  <c r="N18" i="14"/>
  <c r="Q18" i="14"/>
  <c r="N29" i="14"/>
  <c r="O29" i="14"/>
  <c r="H29" i="14"/>
  <c r="P29" i="14"/>
  <c r="Q29" i="14"/>
  <c r="S29" i="14"/>
  <c r="T29" i="14"/>
  <c r="J29" i="14"/>
  <c r="K29" i="14"/>
  <c r="L29" i="14"/>
  <c r="R29" i="14"/>
  <c r="I29" i="14"/>
  <c r="M29" i="14"/>
  <c r="I15" i="14"/>
  <c r="I97" i="14" s="1"/>
  <c r="J15" i="14"/>
  <c r="K15" i="14"/>
  <c r="K97" i="14" s="1"/>
  <c r="H15" i="14"/>
  <c r="H59" i="14" s="1"/>
  <c r="L15" i="14"/>
  <c r="L97" i="14" s="1"/>
  <c r="N15" i="14"/>
  <c r="N97" i="14" s="1"/>
  <c r="O15" i="14"/>
  <c r="O97" i="14" s="1"/>
  <c r="R15" i="14"/>
  <c r="R97" i="14" s="1"/>
  <c r="S15" i="14"/>
  <c r="T15" i="14"/>
  <c r="P15" i="14"/>
  <c r="P97" i="14" s="1"/>
  <c r="M15" i="14"/>
  <c r="M97" i="14" s="1"/>
  <c r="Q15" i="14"/>
  <c r="Q97" i="14" s="1"/>
  <c r="H18" i="14"/>
  <c r="D30" i="14"/>
  <c r="K89" i="14" l="1"/>
  <c r="K90" i="14" s="1"/>
  <c r="K91" i="14" s="1"/>
  <c r="I85" i="14"/>
  <c r="I88" i="14" s="1"/>
  <c r="S85" i="14"/>
  <c r="S88" i="14" s="1"/>
  <c r="Q85" i="14"/>
  <c r="Q88" i="14" s="1"/>
  <c r="H67" i="14"/>
  <c r="L85" i="14"/>
  <c r="L88" i="14" s="1"/>
  <c r="O85" i="14"/>
  <c r="O88" i="14" s="1"/>
  <c r="P85" i="14"/>
  <c r="P88" i="14" s="1"/>
  <c r="H111" i="14"/>
  <c r="H85" i="14"/>
  <c r="H88" i="14" s="1"/>
  <c r="N85" i="14"/>
  <c r="N88" i="14" s="1"/>
  <c r="T85" i="14"/>
  <c r="T88" i="14" s="1"/>
  <c r="H52" i="14"/>
  <c r="H54" i="14" s="1"/>
  <c r="R85" i="14"/>
  <c r="R88" i="14" s="1"/>
  <c r="M85" i="14"/>
  <c r="M88" i="14" s="1"/>
  <c r="J85" i="14"/>
  <c r="J88" i="14" s="1"/>
  <c r="J111" i="14"/>
  <c r="H97" i="14"/>
  <c r="O111" i="14"/>
  <c r="M111" i="14"/>
  <c r="R111" i="14"/>
  <c r="L111" i="14"/>
  <c r="I111" i="14"/>
  <c r="Q111" i="14"/>
  <c r="K111" i="14"/>
  <c r="T111" i="14"/>
  <c r="P111" i="14"/>
  <c r="N111" i="14"/>
  <c r="S111" i="14"/>
  <c r="O76" i="14"/>
  <c r="O67" i="14"/>
  <c r="M76" i="14"/>
  <c r="M67" i="14"/>
  <c r="L76" i="14"/>
  <c r="L67" i="14"/>
  <c r="N76" i="14"/>
  <c r="N67" i="14"/>
  <c r="K76" i="14"/>
  <c r="K67" i="14"/>
  <c r="S76" i="14"/>
  <c r="S67" i="14"/>
  <c r="J76" i="14"/>
  <c r="J67" i="14"/>
  <c r="Q76" i="14"/>
  <c r="Q67" i="14"/>
  <c r="T76" i="14"/>
  <c r="T67" i="14"/>
  <c r="R76" i="14"/>
  <c r="R67" i="14"/>
  <c r="P76" i="14"/>
  <c r="P67" i="14"/>
  <c r="I76" i="14"/>
  <c r="I67" i="14"/>
  <c r="T19" i="14"/>
  <c r="T22" i="14"/>
  <c r="T74" i="14" s="1"/>
  <c r="T20" i="14"/>
  <c r="T21" i="14"/>
  <c r="T25" i="14" s="1"/>
  <c r="T73" i="14" s="1"/>
  <c r="M19" i="14"/>
  <c r="M22" i="14"/>
  <c r="M74" i="14" s="1"/>
  <c r="M21" i="14"/>
  <c r="M25" i="14" s="1"/>
  <c r="M73" i="14" s="1"/>
  <c r="M20" i="14"/>
  <c r="M30" i="14"/>
  <c r="N30" i="14"/>
  <c r="O30" i="14"/>
  <c r="P30" i="14"/>
  <c r="K30" i="14"/>
  <c r="Q30" i="14"/>
  <c r="R30" i="14"/>
  <c r="S30" i="14"/>
  <c r="T30" i="14"/>
  <c r="I30" i="14"/>
  <c r="L30" i="14"/>
  <c r="J30" i="14"/>
  <c r="S19" i="14"/>
  <c r="S20" i="14"/>
  <c r="S22" i="14"/>
  <c r="S74" i="14" s="1"/>
  <c r="S21" i="14"/>
  <c r="S25" i="14" s="1"/>
  <c r="S73" i="14" s="1"/>
  <c r="J19" i="14"/>
  <c r="J20" i="14"/>
  <c r="J21" i="14"/>
  <c r="J25" i="14" s="1"/>
  <c r="J73" i="14" s="1"/>
  <c r="J22" i="14"/>
  <c r="J74" i="14" s="1"/>
  <c r="L19" i="14"/>
  <c r="L21" i="14"/>
  <c r="L25" i="14" s="1"/>
  <c r="L73" i="14" s="1"/>
  <c r="L22" i="14"/>
  <c r="L74" i="14" s="1"/>
  <c r="L20" i="14"/>
  <c r="R19" i="14"/>
  <c r="R20" i="14"/>
  <c r="R21" i="14"/>
  <c r="R25" i="14" s="1"/>
  <c r="R73" i="14" s="1"/>
  <c r="R22" i="14"/>
  <c r="R74" i="14" s="1"/>
  <c r="K19" i="14"/>
  <c r="K20" i="14"/>
  <c r="K22" i="14"/>
  <c r="K74" i="14" s="1"/>
  <c r="K21" i="14"/>
  <c r="K25" i="14" s="1"/>
  <c r="K73" i="14" s="1"/>
  <c r="Q19" i="14"/>
  <c r="Q20" i="14"/>
  <c r="Q22" i="14"/>
  <c r="Q74" i="14" s="1"/>
  <c r="Q21" i="14"/>
  <c r="Q25" i="14" s="1"/>
  <c r="Q73" i="14" s="1"/>
  <c r="N19" i="14"/>
  <c r="N21" i="14"/>
  <c r="N25" i="14" s="1"/>
  <c r="N73" i="14" s="1"/>
  <c r="N20" i="14"/>
  <c r="N22" i="14"/>
  <c r="N74" i="14" s="1"/>
  <c r="P19" i="14"/>
  <c r="P21" i="14"/>
  <c r="P25" i="14" s="1"/>
  <c r="P73" i="14" s="1"/>
  <c r="P22" i="14"/>
  <c r="P74" i="14" s="1"/>
  <c r="P20" i="14"/>
  <c r="O19" i="14"/>
  <c r="O21" i="14"/>
  <c r="O25" i="14" s="1"/>
  <c r="O73" i="14" s="1"/>
  <c r="O22" i="14"/>
  <c r="O74" i="14" s="1"/>
  <c r="O20" i="14"/>
  <c r="I19" i="14"/>
  <c r="I22" i="14"/>
  <c r="I74" i="14" s="1"/>
  <c r="I21" i="14"/>
  <c r="I25" i="14" s="1"/>
  <c r="I73" i="14" s="1"/>
  <c r="I20" i="14"/>
  <c r="M59" i="14"/>
  <c r="M52" i="14"/>
  <c r="M54" i="14" s="1"/>
  <c r="M44" i="14" s="1"/>
  <c r="N59" i="14"/>
  <c r="N52" i="14"/>
  <c r="N54" i="14" s="1"/>
  <c r="N44" i="14" s="1"/>
  <c r="O59" i="14"/>
  <c r="O52" i="14"/>
  <c r="O54" i="14" s="1"/>
  <c r="O44" i="14" s="1"/>
  <c r="L59" i="14"/>
  <c r="L52" i="14"/>
  <c r="L54" i="14" s="1"/>
  <c r="L44" i="14" s="1"/>
  <c r="P59" i="14"/>
  <c r="P52" i="14"/>
  <c r="P54" i="14" s="1"/>
  <c r="P44" i="14" s="1"/>
  <c r="T59" i="14"/>
  <c r="T52" i="14"/>
  <c r="T54" i="14" s="1"/>
  <c r="T44" i="14" s="1"/>
  <c r="T97" i="14"/>
  <c r="K59" i="14"/>
  <c r="K52" i="14"/>
  <c r="K54" i="14" s="1"/>
  <c r="K44" i="14" s="1"/>
  <c r="Q59" i="14"/>
  <c r="Q52" i="14"/>
  <c r="Q54" i="14" s="1"/>
  <c r="Q44" i="14" s="1"/>
  <c r="S59" i="14"/>
  <c r="S52" i="14"/>
  <c r="S54" i="14" s="1"/>
  <c r="S44" i="14" s="1"/>
  <c r="S97" i="14"/>
  <c r="J52" i="14"/>
  <c r="J54" i="14" s="1"/>
  <c r="J44" i="14" s="1"/>
  <c r="J59" i="14"/>
  <c r="R59" i="14"/>
  <c r="R52" i="14"/>
  <c r="R54" i="14" s="1"/>
  <c r="R44" i="14" s="1"/>
  <c r="I59" i="14"/>
  <c r="I52" i="14"/>
  <c r="I54" i="14" s="1"/>
  <c r="I44" i="14" s="1"/>
  <c r="H22" i="14"/>
  <c r="H74" i="14" s="1"/>
  <c r="H20" i="14"/>
  <c r="H21" i="14"/>
  <c r="H25" i="14" s="1"/>
  <c r="H73" i="14" s="1"/>
  <c r="H19" i="14"/>
  <c r="H30" i="14"/>
  <c r="H55" i="14" l="1"/>
  <c r="H56" i="14" s="1"/>
  <c r="H57" i="14" s="1"/>
  <c r="H60" i="14" s="1"/>
  <c r="H44" i="14"/>
  <c r="J89" i="14"/>
  <c r="H89" i="14"/>
  <c r="H61" i="14"/>
  <c r="K47" i="13"/>
  <c r="N31" i="14"/>
  <c r="N68" i="14" s="1"/>
  <c r="N69" i="14" s="1"/>
  <c r="N45" i="14" s="1"/>
  <c r="N32" i="14"/>
  <c r="P31" i="14"/>
  <c r="P68" i="14" s="1"/>
  <c r="P69" i="14" s="1"/>
  <c r="P45" i="14" s="1"/>
  <c r="P32" i="14"/>
  <c r="I31" i="14"/>
  <c r="I68" i="14" s="1"/>
  <c r="I69" i="14" s="1"/>
  <c r="I45" i="14" s="1"/>
  <c r="I32" i="14"/>
  <c r="K31" i="14"/>
  <c r="K68" i="14" s="1"/>
  <c r="K69" i="14" s="1"/>
  <c r="K45" i="14" s="1"/>
  <c r="K32" i="14"/>
  <c r="T31" i="14"/>
  <c r="T68" i="14" s="1"/>
  <c r="T69" i="14" s="1"/>
  <c r="T45" i="14" s="1"/>
  <c r="T32" i="14"/>
  <c r="S31" i="14"/>
  <c r="S68" i="14" s="1"/>
  <c r="S69" i="14" s="1"/>
  <c r="S45" i="14" s="1"/>
  <c r="S32" i="14"/>
  <c r="R31" i="14"/>
  <c r="R68" i="14" s="1"/>
  <c r="R69" i="14" s="1"/>
  <c r="R45" i="14" s="1"/>
  <c r="R32" i="14"/>
  <c r="M31" i="14"/>
  <c r="M68" i="14" s="1"/>
  <c r="M69" i="14" s="1"/>
  <c r="M45" i="14" s="1"/>
  <c r="M32" i="14"/>
  <c r="L31" i="14"/>
  <c r="L68" i="14" s="1"/>
  <c r="L69" i="14" s="1"/>
  <c r="L45" i="14" s="1"/>
  <c r="L32" i="14"/>
  <c r="O31" i="14"/>
  <c r="O68" i="14" s="1"/>
  <c r="O69" i="14" s="1"/>
  <c r="O45" i="14" s="1"/>
  <c r="O32" i="14"/>
  <c r="Q31" i="14"/>
  <c r="Q68" i="14" s="1"/>
  <c r="Q69" i="14" s="1"/>
  <c r="Q45" i="14" s="1"/>
  <c r="Q32" i="14"/>
  <c r="J31" i="14"/>
  <c r="J68" i="14" s="1"/>
  <c r="J69" i="14" s="1"/>
  <c r="J45" i="14" s="1"/>
  <c r="J32" i="14"/>
  <c r="H31" i="14"/>
  <c r="H68" i="14" s="1"/>
  <c r="H69" i="14" s="1"/>
  <c r="H32" i="14"/>
  <c r="H47" i="13"/>
  <c r="N47" i="13"/>
  <c r="Q47" i="13"/>
  <c r="H70" i="14" l="1"/>
  <c r="H71" i="14" s="1"/>
  <c r="H45" i="14"/>
  <c r="H99" i="14"/>
  <c r="H90" i="14"/>
  <c r="H78" i="14"/>
  <c r="H94" i="14" l="1"/>
  <c r="H91" i="14"/>
  <c r="H98" i="14" s="1"/>
  <c r="H92" i="14"/>
  <c r="H95" i="14" s="1"/>
  <c r="Q52" i="13"/>
  <c r="H96" i="14" l="1"/>
  <c r="H100" i="14" s="1"/>
  <c r="H101" i="14" s="1"/>
  <c r="Q50" i="13"/>
  <c r="H47" i="14" l="1"/>
  <c r="H108" i="14" s="1"/>
  <c r="H24" i="14"/>
  <c r="H72" i="14" s="1"/>
  <c r="H77" i="14" s="1"/>
  <c r="H75" i="14" l="1"/>
  <c r="H79" i="14" s="1"/>
  <c r="H80" i="14" s="1"/>
  <c r="H42" i="13" s="1"/>
  <c r="H114" i="14"/>
  <c r="H116" i="14" s="1"/>
  <c r="H62" i="14" l="1"/>
  <c r="H41" i="13" s="1"/>
  <c r="H44" i="13" l="1"/>
  <c r="I55" i="14" l="1"/>
  <c r="I89" i="14"/>
  <c r="I106" i="14"/>
  <c r="I112" i="14" s="1"/>
  <c r="I70" i="14"/>
  <c r="I24" i="14"/>
  <c r="I16" i="14"/>
  <c r="M89" i="14"/>
  <c r="I46" i="14"/>
  <c r="I47" i="14" s="1"/>
  <c r="I108" i="14" s="1"/>
  <c r="I114" i="14" s="1"/>
  <c r="O89" i="14"/>
  <c r="Q89" i="14"/>
  <c r="Q90" i="14" s="1"/>
  <c r="M90" i="14" l="1"/>
  <c r="O90" i="14"/>
  <c r="I90" i="14"/>
  <c r="Q94" i="14"/>
  <c r="I61" i="14"/>
  <c r="K106" i="14"/>
  <c r="K112" i="14" s="1"/>
  <c r="K55" i="14"/>
  <c r="K16" i="14"/>
  <c r="K24" i="14"/>
  <c r="K70" i="14"/>
  <c r="Q106" i="14"/>
  <c r="Q112" i="14" s="1"/>
  <c r="O106" i="14"/>
  <c r="O112" i="14" s="1"/>
  <c r="S106" i="14"/>
  <c r="S112" i="14" s="1"/>
  <c r="S89" i="14"/>
  <c r="I75" i="14"/>
  <c r="I79" i="14" s="1"/>
  <c r="I56" i="14"/>
  <c r="I57" i="14" s="1"/>
  <c r="M106" i="14"/>
  <c r="M112" i="14" s="1"/>
  <c r="S55" i="14"/>
  <c r="S70" i="14"/>
  <c r="Q55" i="14"/>
  <c r="Q56" i="14" s="1"/>
  <c r="Q70" i="14"/>
  <c r="M55" i="14"/>
  <c r="M70" i="14"/>
  <c r="I78" i="14"/>
  <c r="I71" i="14"/>
  <c r="I72" i="14" s="1"/>
  <c r="I77" i="14" s="1"/>
  <c r="O55" i="14"/>
  <c r="O56" i="14" s="1"/>
  <c r="O70" i="14"/>
  <c r="M16" i="14"/>
  <c r="M24" i="14"/>
  <c r="O16" i="14"/>
  <c r="O24" i="14"/>
  <c r="Q24" i="14"/>
  <c r="Q16" i="14"/>
  <c r="Q91" i="14" s="1"/>
  <c r="S46" i="14"/>
  <c r="S47" i="14" s="1"/>
  <c r="S16" i="14"/>
  <c r="S24" i="14"/>
  <c r="R89" i="14"/>
  <c r="O46" i="14"/>
  <c r="O47" i="14" s="1"/>
  <c r="O108" i="14" s="1"/>
  <c r="O114" i="14" s="1"/>
  <c r="Q46" i="14"/>
  <c r="Q47" i="14" s="1"/>
  <c r="Q108" i="14" s="1"/>
  <c r="Q114" i="14" s="1"/>
  <c r="N89" i="14"/>
  <c r="P89" i="14"/>
  <c r="M46" i="14"/>
  <c r="M47" i="14" s="1"/>
  <c r="M108" i="14" s="1"/>
  <c r="M114" i="14" s="1"/>
  <c r="K47" i="14"/>
  <c r="K108" i="14" s="1"/>
  <c r="K114" i="14" s="1"/>
  <c r="M94" i="14" l="1"/>
  <c r="M91" i="14"/>
  <c r="M98" i="14" s="1"/>
  <c r="I94" i="14"/>
  <c r="I91" i="14"/>
  <c r="I98" i="14" s="1"/>
  <c r="O94" i="14"/>
  <c r="O91" i="14"/>
  <c r="K94" i="14"/>
  <c r="K98" i="14"/>
  <c r="N90" i="14"/>
  <c r="I99" i="14"/>
  <c r="I92" i="14"/>
  <c r="I95" i="14" s="1"/>
  <c r="M92" i="14"/>
  <c r="M95" i="14" s="1"/>
  <c r="M96" i="14" s="1"/>
  <c r="K92" i="14"/>
  <c r="K95" i="14" s="1"/>
  <c r="K96" i="14" s="1"/>
  <c r="O92" i="14"/>
  <c r="O95" i="14" s="1"/>
  <c r="Q92" i="14"/>
  <c r="Q95" i="14" s="1"/>
  <c r="P90" i="14"/>
  <c r="L55" i="14"/>
  <c r="L89" i="14"/>
  <c r="R90" i="14"/>
  <c r="J90" i="14"/>
  <c r="J91" i="14" s="1"/>
  <c r="I60" i="14"/>
  <c r="I62" i="14" s="1"/>
  <c r="S61" i="14"/>
  <c r="I116" i="14"/>
  <c r="I44" i="13" s="1"/>
  <c r="M56" i="14"/>
  <c r="M57" i="14" s="1"/>
  <c r="Q57" i="14"/>
  <c r="Q60" i="14" s="1"/>
  <c r="O57" i="14"/>
  <c r="O60" i="14" s="1"/>
  <c r="K116" i="14"/>
  <c r="K78" i="14"/>
  <c r="K71" i="14"/>
  <c r="K72" i="14" s="1"/>
  <c r="K77" i="14" s="1"/>
  <c r="K56" i="14"/>
  <c r="K57" i="14" s="1"/>
  <c r="K60" i="14" s="1"/>
  <c r="K99" i="14"/>
  <c r="S56" i="14"/>
  <c r="S57" i="14" s="1"/>
  <c r="O116" i="14"/>
  <c r="M99" i="14"/>
  <c r="J106" i="14"/>
  <c r="J112" i="14" s="1"/>
  <c r="P106" i="14"/>
  <c r="P112" i="14" s="1"/>
  <c r="Q99" i="14"/>
  <c r="N106" i="14"/>
  <c r="N112" i="14" s="1"/>
  <c r="S75" i="14"/>
  <c r="S79" i="14" s="1"/>
  <c r="S108" i="14"/>
  <c r="S114" i="14" s="1"/>
  <c r="Q116" i="14"/>
  <c r="T106" i="14"/>
  <c r="T112" i="14" s="1"/>
  <c r="T89" i="14"/>
  <c r="L106" i="14"/>
  <c r="L112" i="14" s="1"/>
  <c r="S90" i="14"/>
  <c r="O99" i="14"/>
  <c r="M116" i="14"/>
  <c r="R106" i="14"/>
  <c r="R112" i="14" s="1"/>
  <c r="O78" i="14"/>
  <c r="O71" i="14"/>
  <c r="O72" i="14" s="1"/>
  <c r="O77" i="14" s="1"/>
  <c r="I80" i="14"/>
  <c r="K75" i="14"/>
  <c r="K79" i="14" s="1"/>
  <c r="O75" i="14"/>
  <c r="O79" i="14" s="1"/>
  <c r="R55" i="14"/>
  <c r="R56" i="14" s="1"/>
  <c r="R70" i="14"/>
  <c r="J55" i="14"/>
  <c r="J56" i="14" s="1"/>
  <c r="J70" i="14"/>
  <c r="M78" i="14"/>
  <c r="M71" i="14"/>
  <c r="M72" i="14" s="1"/>
  <c r="M77" i="14" s="1"/>
  <c r="M75" i="14"/>
  <c r="M79" i="14" s="1"/>
  <c r="T55" i="14"/>
  <c r="T56" i="14" s="1"/>
  <c r="T70" i="14"/>
  <c r="P55" i="14"/>
  <c r="P70" i="14"/>
  <c r="N55" i="14"/>
  <c r="N70" i="14"/>
  <c r="L70" i="14"/>
  <c r="S71" i="14"/>
  <c r="S72" i="14" s="1"/>
  <c r="S77" i="14" s="1"/>
  <c r="S78" i="14"/>
  <c r="Q75" i="14"/>
  <c r="Q79" i="14" s="1"/>
  <c r="Q71" i="14"/>
  <c r="Q72" i="14" s="1"/>
  <c r="Q77" i="14" s="1"/>
  <c r="Q78" i="14"/>
  <c r="P46" i="14"/>
  <c r="P47" i="14" s="1"/>
  <c r="P24" i="14"/>
  <c r="P16" i="14"/>
  <c r="L46" i="14"/>
  <c r="L47" i="14" s="1"/>
  <c r="L24" i="14"/>
  <c r="L16" i="14"/>
  <c r="J24" i="14"/>
  <c r="J16" i="14"/>
  <c r="N16" i="14"/>
  <c r="N24" i="14"/>
  <c r="T24" i="14"/>
  <c r="T16" i="14"/>
  <c r="R24" i="14"/>
  <c r="R16" i="14"/>
  <c r="J46" i="14"/>
  <c r="J47" i="14" s="1"/>
  <c r="J108" i="14" s="1"/>
  <c r="J114" i="14" s="1"/>
  <c r="R46" i="14"/>
  <c r="R47" i="14" s="1"/>
  <c r="T46" i="14"/>
  <c r="T47" i="14" s="1"/>
  <c r="T108" i="14" s="1"/>
  <c r="T114" i="14" s="1"/>
  <c r="N46" i="14"/>
  <c r="N47" i="14" s="1"/>
  <c r="N108" i="14" s="1"/>
  <c r="N114" i="14" s="1"/>
  <c r="J75" i="14" l="1"/>
  <c r="J79" i="14" s="1"/>
  <c r="J92" i="14"/>
  <c r="J95" i="14" s="1"/>
  <c r="J96" i="14" s="1"/>
  <c r="J100" i="14" s="1"/>
  <c r="J94" i="14"/>
  <c r="J98" i="14"/>
  <c r="R94" i="14"/>
  <c r="R91" i="14"/>
  <c r="N94" i="14"/>
  <c r="N91" i="14"/>
  <c r="N98" i="14" s="1"/>
  <c r="S94" i="14"/>
  <c r="S91" i="14"/>
  <c r="S98" i="14" s="1"/>
  <c r="P92" i="14"/>
  <c r="P95" i="14" s="1"/>
  <c r="P94" i="14"/>
  <c r="P91" i="14"/>
  <c r="P98" i="14" s="1"/>
  <c r="N92" i="14"/>
  <c r="N95" i="14" s="1"/>
  <c r="N96" i="14" s="1"/>
  <c r="S99" i="14"/>
  <c r="I96" i="14"/>
  <c r="I100" i="14" s="1"/>
  <c r="I101" i="14" s="1"/>
  <c r="I43" i="13" s="1"/>
  <c r="S92" i="14"/>
  <c r="S95" i="14" s="1"/>
  <c r="R92" i="14"/>
  <c r="R95" i="14" s="1"/>
  <c r="R96" i="14" s="1"/>
  <c r="O96" i="14"/>
  <c r="O100" i="14" s="1"/>
  <c r="Q96" i="14"/>
  <c r="Q100" i="14" s="1"/>
  <c r="L90" i="14"/>
  <c r="L108" i="14"/>
  <c r="L114" i="14" s="1"/>
  <c r="I41" i="13"/>
  <c r="K61" i="14"/>
  <c r="K62" i="14" s="1"/>
  <c r="N61" i="14"/>
  <c r="P61" i="14"/>
  <c r="Q61" i="14"/>
  <c r="Q62" i="14" s="1"/>
  <c r="O61" i="14"/>
  <c r="M61" i="14"/>
  <c r="L61" i="14"/>
  <c r="M60" i="14"/>
  <c r="S60" i="14"/>
  <c r="S62" i="14" s="1"/>
  <c r="Q49" i="13"/>
  <c r="S116" i="14"/>
  <c r="S44" i="13" s="1"/>
  <c r="K44" i="13"/>
  <c r="Q44" i="13"/>
  <c r="I42" i="13"/>
  <c r="M44" i="13"/>
  <c r="O44" i="13"/>
  <c r="J57" i="14"/>
  <c r="J60" i="14" s="1"/>
  <c r="K80" i="14"/>
  <c r="T57" i="14"/>
  <c r="T60" i="14" s="1"/>
  <c r="R57" i="14"/>
  <c r="R60" i="14" s="1"/>
  <c r="K100" i="14"/>
  <c r="M80" i="14"/>
  <c r="N56" i="14"/>
  <c r="T116" i="14"/>
  <c r="Q98" i="14"/>
  <c r="T90" i="14"/>
  <c r="P56" i="14"/>
  <c r="P57" i="14" s="1"/>
  <c r="P99" i="14"/>
  <c r="P75" i="14"/>
  <c r="P79" i="14" s="1"/>
  <c r="P108" i="14"/>
  <c r="P114" i="14" s="1"/>
  <c r="Q80" i="14"/>
  <c r="R75" i="14"/>
  <c r="R79" i="14" s="1"/>
  <c r="R108" i="14"/>
  <c r="R114" i="14" s="1"/>
  <c r="L56" i="14"/>
  <c r="L57" i="14" s="1"/>
  <c r="N99" i="14"/>
  <c r="O98" i="14"/>
  <c r="N116" i="14"/>
  <c r="R99" i="14"/>
  <c r="M100" i="14"/>
  <c r="O80" i="14"/>
  <c r="P78" i="14"/>
  <c r="P71" i="14"/>
  <c r="P72" i="14" s="1"/>
  <c r="P77" i="14" s="1"/>
  <c r="J78" i="14"/>
  <c r="J71" i="14"/>
  <c r="J72" i="14" s="1"/>
  <c r="J77" i="14" s="1"/>
  <c r="L75" i="14"/>
  <c r="L79" i="14" s="1"/>
  <c r="T75" i="14"/>
  <c r="T79" i="14" s="1"/>
  <c r="N78" i="14"/>
  <c r="N71" i="14"/>
  <c r="N72" i="14" s="1"/>
  <c r="N77" i="14" s="1"/>
  <c r="T71" i="14"/>
  <c r="T72" i="14" s="1"/>
  <c r="T77" i="14" s="1"/>
  <c r="T78" i="14"/>
  <c r="L71" i="14"/>
  <c r="L72" i="14" s="1"/>
  <c r="N75" i="14"/>
  <c r="N79" i="14" s="1"/>
  <c r="S80" i="14"/>
  <c r="R71" i="14"/>
  <c r="R72" i="14" s="1"/>
  <c r="R77" i="14" s="1"/>
  <c r="R78" i="14"/>
  <c r="T94" i="14" l="1"/>
  <c r="T91" i="14"/>
  <c r="T98" i="14" s="1"/>
  <c r="L94" i="14"/>
  <c r="L91" i="14"/>
  <c r="L98" i="14" s="1"/>
  <c r="L99" i="14"/>
  <c r="T99" i="14"/>
  <c r="N49" i="13"/>
  <c r="K50" i="13"/>
  <c r="P96" i="14"/>
  <c r="P100" i="14" s="1"/>
  <c r="S96" i="14"/>
  <c r="S100" i="14" s="1"/>
  <c r="S101" i="14" s="1"/>
  <c r="S43" i="13" s="1"/>
  <c r="L92" i="14"/>
  <c r="L95" i="14" s="1"/>
  <c r="L96" i="14" s="1"/>
  <c r="L100" i="14" s="1"/>
  <c r="T92" i="14"/>
  <c r="T95" i="14" s="1"/>
  <c r="Q51" i="13"/>
  <c r="Q48" i="13" s="1"/>
  <c r="L116" i="14"/>
  <c r="M62" i="14"/>
  <c r="M41" i="13" s="1"/>
  <c r="O62" i="14"/>
  <c r="O41" i="13" s="1"/>
  <c r="S41" i="13"/>
  <c r="T61" i="14"/>
  <c r="L60" i="14"/>
  <c r="H48" i="13" s="1"/>
  <c r="R61" i="14"/>
  <c r="R62" i="14" s="1"/>
  <c r="P60" i="14"/>
  <c r="P62" i="14" s="1"/>
  <c r="J61" i="14"/>
  <c r="H49" i="13" s="1"/>
  <c r="L77" i="14"/>
  <c r="K48" i="13" s="1"/>
  <c r="L78" i="14"/>
  <c r="K49" i="13" s="1"/>
  <c r="K41" i="13"/>
  <c r="Q41" i="13"/>
  <c r="P116" i="14"/>
  <c r="R116" i="14"/>
  <c r="R44" i="13" s="1"/>
  <c r="J116" i="14"/>
  <c r="J44" i="13" s="1"/>
  <c r="K42" i="13"/>
  <c r="Q42" i="13"/>
  <c r="T44" i="13"/>
  <c r="M42" i="13"/>
  <c r="S42" i="13"/>
  <c r="O42" i="13"/>
  <c r="N44" i="13"/>
  <c r="N57" i="14"/>
  <c r="K101" i="14"/>
  <c r="K43" i="13" s="1"/>
  <c r="M101" i="14"/>
  <c r="M43" i="13" s="1"/>
  <c r="N80" i="14"/>
  <c r="P80" i="14"/>
  <c r="R80" i="14"/>
  <c r="N100" i="14"/>
  <c r="T80" i="14"/>
  <c r="O101" i="14"/>
  <c r="O43" i="13" s="1"/>
  <c r="R100" i="14"/>
  <c r="R98" i="14"/>
  <c r="Q101" i="14"/>
  <c r="Q43" i="13" s="1"/>
  <c r="J80" i="14"/>
  <c r="Q53" i="13" l="1"/>
  <c r="P54" i="13" s="1"/>
  <c r="T96" i="14"/>
  <c r="T100" i="14" s="1"/>
  <c r="T101" i="14" s="1"/>
  <c r="T43" i="13" s="1"/>
  <c r="L44" i="13"/>
  <c r="L62" i="14"/>
  <c r="J62" i="14"/>
  <c r="T62" i="14"/>
  <c r="L80" i="14"/>
  <c r="L42" i="13" s="1"/>
  <c r="P41" i="13"/>
  <c r="N60" i="14"/>
  <c r="N62" i="14" s="1"/>
  <c r="R41" i="13"/>
  <c r="P44" i="13"/>
  <c r="P42" i="13"/>
  <c r="T42" i="13"/>
  <c r="N42" i="13"/>
  <c r="R42" i="13"/>
  <c r="J42" i="13"/>
  <c r="N101" i="14"/>
  <c r="N43" i="13" s="1"/>
  <c r="P101" i="14"/>
  <c r="P43" i="13" s="1"/>
  <c r="R101" i="14"/>
  <c r="R43" i="13" s="1"/>
  <c r="L101" i="14"/>
  <c r="L43" i="13" s="1"/>
  <c r="J101" i="14"/>
  <c r="N48" i="13"/>
  <c r="J43" i="13" l="1"/>
  <c r="N51" i="13"/>
  <c r="M52" i="13" s="1"/>
  <c r="H50" i="13"/>
  <c r="G51" i="13" s="1"/>
  <c r="L41" i="13"/>
  <c r="J41" i="13"/>
  <c r="T41" i="13"/>
  <c r="N41" i="13"/>
  <c r="K51" i="13"/>
  <c r="J52" i="13" s="1"/>
  <c r="H43" i="13"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<sst xmlns="http://schemas.openxmlformats.org/spreadsheetml/2006/main" count="605" uniqueCount="306">
  <si>
    <t>Mærsk Mc-Kinney Møller Center for Zero Carbon Shipping</t>
  </si>
  <si>
    <t>NZF Compliance Cost Calculator</t>
  </si>
  <si>
    <t>Results comparing strategies</t>
  </si>
  <si>
    <r>
      <rPr>
        <b/>
        <sz val="10"/>
        <color theme="0"/>
        <rFont val="Calibri"/>
        <family val="2"/>
        <scheme val="minor"/>
      </rPr>
      <t>Disclaimer</t>
    </r>
    <r>
      <rPr>
        <sz val="10"/>
        <color theme="0"/>
        <rFont val="Calibri"/>
        <family val="2"/>
        <scheme val="minor"/>
      </rPr>
      <t>: This calculator is meant to indicate potential costs but is not a price forecasting tool. It should not be taken as investment, financial, legal, tax, or accounting advice. Please evaluate assumptions before making decisions. This calculator is provided "as is" with no warranties, and the Fonden Mærsk Mc-Kinney Møller Center for Zero Carbon Shipping is not responsible for errors or damages arising from its use.</t>
    </r>
  </si>
  <si>
    <t>MMMCZCS IMO Knowledge Hub Link</t>
  </si>
  <si>
    <t>User input</t>
  </si>
  <si>
    <t>Policy assumptions setup</t>
  </si>
  <si>
    <t>Notes/sources</t>
  </si>
  <si>
    <t>Drop-downs</t>
  </si>
  <si>
    <t>CIA Reward Rate Base (90 to 60% of cost gap)</t>
  </si>
  <si>
    <t>LSFO</t>
  </si>
  <si>
    <t>CIA Reward Rate High (105% of cost gap)</t>
  </si>
  <si>
    <t>Bio-diesel</t>
  </si>
  <si>
    <t>Example Reward High (400 to 5 USD/tCO2e)</t>
  </si>
  <si>
    <t>LNG (HP)</t>
  </si>
  <si>
    <t>Example Reward Low (200 to 5 USD/tCO2e)</t>
  </si>
  <si>
    <t>LNG (LP)</t>
  </si>
  <si>
    <t>No</t>
  </si>
  <si>
    <t>No Reward</t>
  </si>
  <si>
    <t>Bio-methane (HP)</t>
  </si>
  <si>
    <t>MMM LSFO</t>
  </si>
  <si>
    <t>Bio-methane (LP)</t>
  </si>
  <si>
    <t>Enter fixed price</t>
  </si>
  <si>
    <t>ZNZ</t>
  </si>
  <si>
    <t>ZNZ reward [USD/tonne CO2e]</t>
  </si>
  <si>
    <t>MMM LNG</t>
  </si>
  <si>
    <t>Yes</t>
  </si>
  <si>
    <t>Enter my own</t>
  </si>
  <si>
    <t>LR/UMAS B100 - Avg Price</t>
  </si>
  <si>
    <t>LR/UMAS B100 - Low Price</t>
  </si>
  <si>
    <t>LR/UMAS B100 - High Price</t>
  </si>
  <si>
    <t>Min ZNZ Threshold</t>
  </si>
  <si>
    <t>Will the following energy sources be available in sufficient quantities to be able to set the surplus unit price?</t>
  </si>
  <si>
    <t>MMM Bio-methane Cost</t>
  </si>
  <si>
    <t>Will bio-diesel set surplus unit prices?</t>
  </si>
  <si>
    <t>Will bio-methane set surplus unit prices?</t>
  </si>
  <si>
    <t>Otto dual fuel (LP)</t>
  </si>
  <si>
    <t>Will ZNZs set surplus unit prices?</t>
  </si>
  <si>
    <t>Diesel dual fuel (HP)</t>
  </si>
  <si>
    <t>MMM ZNZ - Avg Cost</t>
  </si>
  <si>
    <t>Strategy 1: LSFO + bio-diesel or RUs</t>
  </si>
  <si>
    <t>MMM ZNZ - Low Cost</t>
  </si>
  <si>
    <t>MMM ZNZ - High Cost</t>
  </si>
  <si>
    <t>LSFO fuel costs [USD/tonne LSFO]</t>
  </si>
  <si>
    <t>Use a MMMCZCS forecast or enter your own</t>
  </si>
  <si>
    <t>MMM Fuel Cost Calculator, 2024</t>
  </si>
  <si>
    <t>Blend in bio-diesel when cheaper than RUs</t>
  </si>
  <si>
    <t>LSFO only and always pay RU</t>
  </si>
  <si>
    <t>Limit Strategy to LSFO only (+ cost of RUs)</t>
  </si>
  <si>
    <t>Blend in bio-methane when cheaper than RUs</t>
  </si>
  <si>
    <t>LNG only and always pay RU</t>
  </si>
  <si>
    <t>Bio-diesel fuel costs [USD/tLSFOeq]</t>
  </si>
  <si>
    <t>Use a bio-diesel forecast from LR &amp; UMAS or enter your own (B100 = 100% bio-diesel)</t>
  </si>
  <si>
    <t>LR &amp; UMAS, 2020</t>
  </si>
  <si>
    <t>Strategy 2: LNG + bio-methane (biowaste) or RUs</t>
  </si>
  <si>
    <t>LNG engine type and fuel costs [USD/tLSFO-eq]</t>
  </si>
  <si>
    <t>Choose LNG engine type</t>
  </si>
  <si>
    <r>
      <t xml:space="preserve">Impacts the emissions factors due to variation in TTW slip onboard the vessel. We use values from  MEPC 81/16/Add.1, Annex 10. for  two engine types: Otto cycle low pressure (LP): 1.7% and Diesel high pressure (HP): 0.15%. LP is the engine of choice for LNG carriers, while the orderbook contains more HP engines, primarily used in non-LNG carriers. Where values don't exist we use values from the FuelEU Regulation. We assume a biowaste source of bio-methane. </t>
    </r>
    <r>
      <rPr>
        <b/>
        <sz val="9"/>
        <color theme="0"/>
        <rFont val="Calibri"/>
        <family val="2"/>
        <scheme val="minor"/>
      </rPr>
      <t>Note:</t>
    </r>
    <r>
      <rPr>
        <sz val="9"/>
        <color theme="0"/>
        <rFont val="Calibri"/>
        <family val="2"/>
        <scheme val="minor"/>
      </rPr>
      <t xml:space="preserve"> these values should be seen as a rough estimate and are subject to updates to the LCA framework.</t>
    </r>
  </si>
  <si>
    <t>Tables for figures</t>
  </si>
  <si>
    <t>Limit Strategy to LNG only (+ cost of RUs)</t>
  </si>
  <si>
    <t>Strategy 3: LSFO + ZNZ</t>
  </si>
  <si>
    <t>Strategy 4: 100% ZNZ</t>
  </si>
  <si>
    <t>LNG: bio-methane fuel costs [USD/tLSFOeq]</t>
  </si>
  <si>
    <t>Choose between our Fuel Cost Calculator values, with increasing costs over time (due to feedstock cost constraints) or enter your own</t>
  </si>
  <si>
    <t>LSFO fuel</t>
  </si>
  <si>
    <t>LNG fuel</t>
  </si>
  <si>
    <t>ZNZ fuel</t>
  </si>
  <si>
    <t>Tier 2 (Bio-methane or RU2)</t>
  </si>
  <si>
    <t>Tier 2 (ZNZ or RU2)</t>
  </si>
  <si>
    <t>ZNZ fuel (after rewards and surplus)</t>
  </si>
  <si>
    <t>Strategies 3 &amp; 4: ZNZ</t>
  </si>
  <si>
    <t>Notes</t>
  </si>
  <si>
    <t>Tier 2 RU2</t>
  </si>
  <si>
    <t>Set ZNZ marine fuel characteristics</t>
  </si>
  <si>
    <t>Total S1</t>
  </si>
  <si>
    <t>GFS Surplus</t>
  </si>
  <si>
    <t>ZNZ Reward</t>
  </si>
  <si>
    <t>Tier 1 RU1</t>
  </si>
  <si>
    <t>Total S2</t>
  </si>
  <si>
    <t>Total S3</t>
  </si>
  <si>
    <t>Use MMMCZCS Fuel Cost Calculator or enter your own</t>
  </si>
  <si>
    <t>Total S4</t>
  </si>
  <si>
    <t>Policy paramaters</t>
  </si>
  <si>
    <t>Parameters</t>
  </si>
  <si>
    <t>User Input</t>
  </si>
  <si>
    <t>Calculation</t>
  </si>
  <si>
    <t>Units</t>
  </si>
  <si>
    <t>GFI Reduction Factors Tier 2 (Base)</t>
  </si>
  <si>
    <t>Fixed</t>
  </si>
  <si>
    <t>GFI reference x z-factor</t>
  </si>
  <si>
    <t>gCO2e/MJ</t>
  </si>
  <si>
    <t>GFI Reduction Factors Tier 1 (Direct)</t>
  </si>
  <si>
    <t>Reward Rate</t>
  </si>
  <si>
    <t>Based on user input</t>
  </si>
  <si>
    <t>USD/tCO2e</t>
  </si>
  <si>
    <t>Surplus Units up to Tier 1 Compliance</t>
  </si>
  <si>
    <t>Fuel cost calculations</t>
  </si>
  <si>
    <t>Fuel Costs</t>
  </si>
  <si>
    <t>User Input / Lookups</t>
  </si>
  <si>
    <t>LSFO Emissions Factor</t>
  </si>
  <si>
    <t>LSFO Emissions Factor (Converted)</t>
  </si>
  <si>
    <t>Convered to tonnes CO2e per GJ</t>
  </si>
  <si>
    <t>Emission factor / 1000</t>
  </si>
  <si>
    <t>tCO2e/GJ</t>
  </si>
  <si>
    <t>LSFO Tier 2 Emissions Deficit</t>
  </si>
  <si>
    <t>Deficit with Tier 2 requirement</t>
  </si>
  <si>
    <t>Target - LSFO actual (converted)</t>
  </si>
  <si>
    <t>tCO2e deficit/tLSFO</t>
  </si>
  <si>
    <t>LSFO Tier 1 Emissions Deficit</t>
  </si>
  <si>
    <t>Additional deficit with Tier 1 requirement</t>
  </si>
  <si>
    <t>Lower Target - LSFO actual - Deficit Tier 1</t>
  </si>
  <si>
    <t>LSFO Fuel Cost</t>
  </si>
  <si>
    <t>USD/GJ</t>
  </si>
  <si>
    <t>LSFO Tier 2 RU cost per tonne of LSFO</t>
  </si>
  <si>
    <t>Converted to cost per tonne of fuel</t>
  </si>
  <si>
    <t>Abatement cost / emissions per tonne of fuel</t>
  </si>
  <si>
    <t>USD/tLSFO</t>
  </si>
  <si>
    <t>LSFO Tier 1 RU cost per tonne of LSFO</t>
  </si>
  <si>
    <t>LNG</t>
  </si>
  <si>
    <t>LNG Emissions Factor</t>
  </si>
  <si>
    <t>LNG Emissions Factor (Converted)</t>
  </si>
  <si>
    <t>LNG Tier 2 Emissions Deficit</t>
  </si>
  <si>
    <t>Target - LNG actual (converted)</t>
  </si>
  <si>
    <t>tCO2e deficit/tLSFOeq</t>
  </si>
  <si>
    <t>LNG Tier 1 Emissions Deficit</t>
  </si>
  <si>
    <t>Lower Target - LNG actual - Deficit Tier 1</t>
  </si>
  <si>
    <t>LNG Emissions Surplus</t>
  </si>
  <si>
    <t>If 2-tier, surplus is with lower requirement</t>
  </si>
  <si>
    <t>tCO2e surplus/tLSFOeq</t>
  </si>
  <si>
    <t>LNG Fuel Cost</t>
  </si>
  <si>
    <t>LNG Tier 2 RU cost per tonne of LSFOeq</t>
  </si>
  <si>
    <t>USD/tLSFOeq</t>
  </si>
  <si>
    <t>LNG Tier 1 RU cost per tonne of LSFOeq</t>
  </si>
  <si>
    <t>Bio-diesel Emissions Factor</t>
  </si>
  <si>
    <t>Bio-diesel Emissions Factor (Converted)</t>
  </si>
  <si>
    <t>Bio-diesel Emissions Deficit</t>
  </si>
  <si>
    <t>Target - Bio-diesel actual (converted)</t>
  </si>
  <si>
    <t>Bio-diesel Fuel Cost</t>
  </si>
  <si>
    <t>Bio-methane</t>
  </si>
  <si>
    <t>Bio-methane Emissions Factor</t>
  </si>
  <si>
    <t>Bio-methane Emissions Factor (Converted)</t>
  </si>
  <si>
    <t>Bio-methane Emissions Deficit</t>
  </si>
  <si>
    <t>Target - Bio-methane actual (converted)</t>
  </si>
  <si>
    <t>Bio-methane Fuel Cost</t>
  </si>
  <si>
    <t>ZNZ Emission Factor</t>
  </si>
  <si>
    <t>ZNZ Emission Factor (Converted)</t>
  </si>
  <si>
    <t>ZNZ Tier 2 Emissions Deficit</t>
  </si>
  <si>
    <t>Target - ZNZ actual (converted)</t>
  </si>
  <si>
    <t>ZNZ Tier 1 Emissions Deficit</t>
  </si>
  <si>
    <t>Lower Target - ZNZ actual - Deficit Tier 1</t>
  </si>
  <si>
    <t>ZNZ Emissions Surplus</t>
  </si>
  <si>
    <t>Surplus is with Tier 1 requirement</t>
  </si>
  <si>
    <t>ZNZ Fuel Cost</t>
  </si>
  <si>
    <t>Surplus Unit Value</t>
  </si>
  <si>
    <t>Abatement</t>
  </si>
  <si>
    <t>Abatement cost - Reward</t>
  </si>
  <si>
    <t/>
  </si>
  <si>
    <t>USD/tCO2e abatement</t>
  </si>
  <si>
    <t>Bio-diesel blend</t>
  </si>
  <si>
    <t>Abatement cost</t>
  </si>
  <si>
    <t>Bio-methane blend</t>
  </si>
  <si>
    <t>Remedial Unit</t>
  </si>
  <si>
    <t>Cost to buy one remedial unit</t>
  </si>
  <si>
    <t>USD/tCO2e deficit</t>
  </si>
  <si>
    <t>Market price of surplus unit</t>
  </si>
  <si>
    <t>USD/tonne of CO2e abatement</t>
  </si>
  <si>
    <t>Strategy 1: LSFO + Bio-diesel (base case)</t>
  </si>
  <si>
    <t>Bio-diesel cost premium</t>
  </si>
  <si>
    <t>Bio-diesel additional cost per GJ</t>
  </si>
  <si>
    <t>bio cost - LSFO cost</t>
  </si>
  <si>
    <t>Bio-diesel abatement per GJ</t>
  </si>
  <si>
    <t>bio EF - LSFO EF</t>
  </si>
  <si>
    <t>tCO2e abatement/GJ</t>
  </si>
  <si>
    <t>Tier 2</t>
  </si>
  <si>
    <t>Bio-diesel blend abatement cost</t>
  </si>
  <si>
    <t>Additional cost per t of abatement</t>
  </si>
  <si>
    <t>Cost diff/EF diff</t>
  </si>
  <si>
    <t>Minimum compliance cost</t>
  </si>
  <si>
    <t>Lowest cost compliance cost</t>
  </si>
  <si>
    <t>Minimum</t>
  </si>
  <si>
    <t>Minimum compliance option</t>
  </si>
  <si>
    <t>Lowest cost compliance option</t>
  </si>
  <si>
    <t>GFS Tier 2 cost</t>
  </si>
  <si>
    <t>Lowest cost option converted</t>
  </si>
  <si>
    <t>If bio, abate cost x abatement</t>
  </si>
  <si>
    <t>Tier 1</t>
  </si>
  <si>
    <t>GFS Tier 1 cost</t>
  </si>
  <si>
    <t>Total Costs</t>
  </si>
  <si>
    <t>Cost per tonne of LSFO or equivalence</t>
  </si>
  <si>
    <t>Minimum between Bio-diesel and RU</t>
  </si>
  <si>
    <t>fuel cost + GFS compliance cost</t>
  </si>
  <si>
    <t>Strategy 2: LNG + Bio-methane</t>
  </si>
  <si>
    <t>Bio-methane cost premium</t>
  </si>
  <si>
    <t>Bio-methane additional cost per GJ</t>
  </si>
  <si>
    <t>Bio-methane abatement per GJ</t>
  </si>
  <si>
    <t>Bio-methane blend abatement cost</t>
  </si>
  <si>
    <t>Surplus</t>
  </si>
  <si>
    <t>Surplus when LNG emissions factor is lower than GFI requirement</t>
  </si>
  <si>
    <t>Alt surplus x LSFO LCV</t>
  </si>
  <si>
    <t>Surplus at the market value</t>
  </si>
  <si>
    <t>Abatement x surplus value</t>
  </si>
  <si>
    <t>USD/tLSFO-eq</t>
  </si>
  <si>
    <t>Cost per tonne of LNG or equivalence</t>
  </si>
  <si>
    <t>Minimum between Bio-methane and penalty</t>
  </si>
  <si>
    <t>fuel cost + compliance cost</t>
  </si>
  <si>
    <t>ZNZ cost premium</t>
  </si>
  <si>
    <t>ZNZ additional cost per GJ</t>
  </si>
  <si>
    <t>ZNZ cost - LSFO cost</t>
  </si>
  <si>
    <t>ZNZ abatement per GJ</t>
  </si>
  <si>
    <t>ZNZ EF - LSFO EF</t>
  </si>
  <si>
    <t>ZNZ blend abatement cost</t>
  </si>
  <si>
    <t>If ZNZ, abate cost x abatement</t>
  </si>
  <si>
    <t>Emissions factor</t>
  </si>
  <si>
    <t>Reward</t>
  </si>
  <si>
    <t>ZNZ abatement</t>
  </si>
  <si>
    <t>attained EF - LSFO EF</t>
  </si>
  <si>
    <t>ZNZ reward</t>
  </si>
  <si>
    <t>Rewards are granted per tonne abatement by a ZNZ</t>
  </si>
  <si>
    <t>abatement x reward</t>
  </si>
  <si>
    <t>Minimum between ZNZ and penalty</t>
  </si>
  <si>
    <t>Tier 2 cost of Rus</t>
  </si>
  <si>
    <t>Assumes deficits comply with RUs</t>
  </si>
  <si>
    <t>Deficit x RU (Upper)</t>
  </si>
  <si>
    <t>Tier 1 cost of Rus</t>
  </si>
  <si>
    <t>RU for deficits with Lower Requirement</t>
  </si>
  <si>
    <t>Lower Target Deficit x RU</t>
  </si>
  <si>
    <t>If there is a deficit, assumed RU</t>
  </si>
  <si>
    <t>Deficit for lower tier, also RU</t>
  </si>
  <si>
    <t>GHG Reference values and emissions factors</t>
  </si>
  <si>
    <t>Reference</t>
  </si>
  <si>
    <t>WtW</t>
  </si>
  <si>
    <t>Lower Calorific Value</t>
  </si>
  <si>
    <t>MJ/g</t>
  </si>
  <si>
    <t>use LSFO-eq</t>
  </si>
  <si>
    <t>Fatty acid methyl ester (FAME) from waste cooking oil</t>
  </si>
  <si>
    <t>Biomethane from biowaste closed digestate, off-gas combustion</t>
  </si>
  <si>
    <t>Source</t>
  </si>
  <si>
    <t>MEPC 83/WP.11</t>
  </si>
  <si>
    <t>We use VLSFO values from MEPC.391 (81) Appendix 2 (pg 49)</t>
  </si>
  <si>
    <t>We use values from MEPC.391 (81) Appendix 2. Where values were missing, we used FuelEU Annex II.</t>
  </si>
  <si>
    <t>Policy Parameters</t>
  </si>
  <si>
    <t>Parameter</t>
  </si>
  <si>
    <t>units</t>
  </si>
  <si>
    <t>%</t>
  </si>
  <si>
    <t>Tier 2 Remedial Unit Cost</t>
  </si>
  <si>
    <t>USD/Tonne CO2eq</t>
  </si>
  <si>
    <t>Tier 1 Remedial Unit Cost</t>
  </si>
  <si>
    <t>Minimum ZNZ Threshold</t>
  </si>
  <si>
    <t>gCO2eq/MJ</t>
  </si>
  <si>
    <t>CIA Fleet (DNV) Appendix C (table C-2)</t>
  </si>
  <si>
    <t>Remedial Unit value</t>
  </si>
  <si>
    <t>Variable</t>
  </si>
  <si>
    <t>MMMCZCS, 2024</t>
  </si>
  <si>
    <t>MMMCZCS, 2024 (forthcoming version)</t>
  </si>
  <si>
    <t>Tier 2 (gCO2e/MJ)</t>
  </si>
  <si>
    <t>Reference Value (gCO2e/MJ)</t>
  </si>
  <si>
    <t>Over-compliant</t>
  </si>
  <si>
    <t>Tier 1 Range</t>
  </si>
  <si>
    <t>Tier 2 Range</t>
  </si>
  <si>
    <t>Year</t>
  </si>
  <si>
    <t>Tier 2 (%)</t>
  </si>
  <si>
    <t>Tier 2 Reduction (%)</t>
  </si>
  <si>
    <t>Tier 1 (%)</t>
  </si>
  <si>
    <t>Tier 1 Reduction (%)</t>
  </si>
  <si>
    <t>Tier 1 (gCO2e/MJ)</t>
  </si>
  <si>
    <t>Non-compliant</t>
  </si>
  <si>
    <t>Pre-NZF</t>
  </si>
  <si>
    <t>Share of ZNZ blend</t>
  </si>
  <si>
    <t>Min share of ZNZ to meet tier 2</t>
  </si>
  <si>
    <t>Required abatement / reduction of ZNZ</t>
  </si>
  <si>
    <t>(ZNZ EF - reference GHG value) * share of ZNZ</t>
  </si>
  <si>
    <t>No reward</t>
  </si>
  <si>
    <t>Example Reward High (350 to 25 USD/tCO2e)</t>
  </si>
  <si>
    <t>Example Reward Low (175 to 12,5 USD/tCO2e)</t>
  </si>
  <si>
    <t>Enter Tier 2 RU Price (from 2031)</t>
  </si>
  <si>
    <t>Fixed Tier 2 RU at 380 USD/tCO2eq</t>
  </si>
  <si>
    <t>Remedial Unit Price Assumption</t>
  </si>
  <si>
    <t>Note: This strategy assumes a waste-based bio-diesel FAME as a drop-in fuel to achieve compliance when it less expensive than the Tier 2 RU. There are advanced forms of bio-oils, such as those produced with HTL or Pyrolysis which are not captured in this strategy.</t>
  </si>
  <si>
    <t>Note: This strategy assumes a bio-waste bio-methane is blended with fossil LNG to achieve compliance when it less expensive than the Tier 2 RU. This assumes that the bio-methane does not qualify as a ZNZ and, therefore, is not rewarded. However, some bio-methane pathways are likely to meet the ZNZ thresholds and may qualify for ZNZ rewards.</t>
  </si>
  <si>
    <t>The MEPC83/WP11  agreement includes a threshold for rewarding ZNZs of 19 gCO2e/MJ from 2028 - 2034, and 14gCO2e/MJ after 2035</t>
  </si>
  <si>
    <t>HFO</t>
  </si>
  <si>
    <t>Notes/Feedstock</t>
  </si>
  <si>
    <t>Surplus value</t>
  </si>
  <si>
    <t>Minimum abatement cost of RUs and other available compliance options</t>
  </si>
  <si>
    <r>
      <rPr>
        <b/>
        <sz val="10"/>
        <color theme="1"/>
        <rFont val="Calibri"/>
        <family val="2"/>
        <scheme val="minor"/>
      </rPr>
      <t>Note on the unit of comparison:</t>
    </r>
    <r>
      <rPr>
        <sz val="10"/>
        <color theme="1"/>
        <rFont val="Calibri"/>
        <family val="2"/>
        <scheme val="minor"/>
      </rPr>
      <t xml:space="preserve"> Costs are all shown in USD per equivalence to 1 tonne of LSFO, using an energy content (LCV) of LSFO to allow for comparison between fuels. Additional costs such as captial expenditure of vessels, and additional operating costs will factor into decision making but these will generally play a smaller role compared to fuel costs.</t>
    </r>
  </si>
  <si>
    <r>
      <rPr>
        <b/>
        <sz val="10"/>
        <color theme="0"/>
        <rFont val="Calibri"/>
        <family val="2"/>
        <scheme val="minor"/>
      </rPr>
      <t>GFI emission factor</t>
    </r>
    <r>
      <rPr>
        <sz val="10"/>
        <color theme="0"/>
        <rFont val="Calibri"/>
        <family val="2"/>
        <scheme val="minor"/>
      </rPr>
      <t>: Use minimum ZNZ threshold or enter your own</t>
    </r>
  </si>
  <si>
    <r>
      <rPr>
        <b/>
        <sz val="10"/>
        <color rgb="FF000000"/>
        <rFont val="Calibri"/>
        <family val="2"/>
      </rPr>
      <t>Purpose:</t>
    </r>
    <r>
      <rPr>
        <sz val="10"/>
        <color rgb="FF000000"/>
        <rFont val="Calibri"/>
        <family val="2"/>
      </rPr>
      <t xml:space="preserve"> This tool is for policymakers and industry stakeholders seeking a deeper understanding of the agreed-upon Net Zero Framework and how the regulations translate into incentives to invest in sustainable alternatives. It enables users to assess the impacts of the Framework by inputting assumptions on fuel costs and emission factors, tailoring the analysis to their specific context. Since the definition of zero- and near-zero fuels is not yet finalized beyond GHG thresholds—and the associated rewards are also undefined—users must apply a range of assumptions. The results show indicative costs based on combinations of fuels, penalties, and GHG intensity. These are not direct policy costs, but estimated financial impacts based on user-defined assumptions, which require further testing and validation.</t>
    </r>
  </si>
  <si>
    <r>
      <rPr>
        <b/>
        <sz val="10"/>
        <color rgb="FF000000"/>
        <rFont val="Calibri"/>
        <family val="2"/>
      </rPr>
      <t>Logic for trading value:</t>
    </r>
    <r>
      <rPr>
        <sz val="10"/>
        <color rgb="FF000000"/>
        <rFont val="Calibri"/>
        <family val="2"/>
      </rPr>
      <t xml:space="preserve">  The NZF allows ships with surplus compliance to sell units to those with a deficit. This tool assumes that surplus unit prices reflect the lowest cost among four compliance options: (a) Tier 2 remedial unit cost, (b) bio-diesel blend cost, (c) bio-methane blend cost, or (d) ZNZ fuel cost. This setup aims to mimic market equilibrium, where surplus prices align with marginal abatement costs. Because GFS demand is fixed by the GFI target, users must choose which compliance options are realistically available. If ZNZ, bio-diesel, and bio-methane are not expected to be available in sufficient supply, surplus units default to the Tier 2 RU price.</t>
    </r>
  </si>
  <si>
    <r>
      <rPr>
        <b/>
        <sz val="10"/>
        <color rgb="FF000000"/>
        <rFont val="Calibri"/>
        <family val="2"/>
      </rPr>
      <t xml:space="preserve">How to use the model: </t>
    </r>
    <r>
      <rPr>
        <sz val="10"/>
        <color rgb="FF000000"/>
        <rFont val="Calibri"/>
        <family val="2"/>
      </rPr>
      <t xml:space="preserve"> Commercial stakeholders will have different options for complying with the regulations. This tool defines four illustrative compliance strategies that represent different cost-minimizing decisions: 1) a base case using LSFO and the lowest cost between blending bio-diesel or paying the remedial unit penalty (RU), 2) LNG and the lowest cost between blending bio-methane or paying the RU, 3) LSFO and the lowest cost between ZNZ and paying the RU, and 4) using 100% ZNZ and trading surplus compliance. Users can compare the cost impacts of these strategies under different NZF scenarios by first setting assumptions on trading and ZNZ availability, and then adjusting inputs for the four strategies. You may choose standard MMMCZCS assumptions or input your own. These strategies are not exhaustive and can be combined—for example, a dual-fuel vessel using LSFO and bio-diesel, or an LNG vessel using ZNZ e-methane. </t>
    </r>
    <r>
      <rPr>
        <b/>
        <i/>
        <sz val="10"/>
        <color rgb="FF000000"/>
        <rFont val="Calibri"/>
        <family val="2"/>
      </rPr>
      <t>Note: Results are indicative only and depend on key assumptions that should be further validated before informing investment decisions.</t>
    </r>
  </si>
  <si>
    <t>We assume the cost of surplus units will be determined by the cheapest of four options 1) the RU, 2) the bio-diesel blend compliance cost, 3) bio-methane blend compliance cost, 4) the ZNZ compliance cost. Select 'No' if you think there will be insufficient quantities of these fuels to exclude them from setting the price.</t>
  </si>
  <si>
    <t>To understand the cost of non-compliance, the allows the user to see the cost of the RU without blending bio-diesel, or purchasing SUs.</t>
  </si>
  <si>
    <t>To understand the cost of non-compliance, the allows the user to see the cost of the RU without blending bio-methane, or purchasing SUs.</t>
  </si>
  <si>
    <t>Choose year to see snapshot -&gt;</t>
  </si>
  <si>
    <t xml:space="preserve">Comparing NZF Compliance Strategies [USD/tLSFOeq] </t>
  </si>
  <si>
    <t>Tier 1 (RU1)</t>
  </si>
  <si>
    <t>Tier 2 (Bio-diesel or RU2)</t>
  </si>
  <si>
    <t>GFI Surplus</t>
  </si>
  <si>
    <t>Year used for the figures below showing a breakdwon of costs in a single year</t>
  </si>
  <si>
    <r>
      <rPr>
        <b/>
        <sz val="10"/>
        <color rgb="FF000000"/>
        <rFont val="Calibri"/>
        <family val="2"/>
      </rPr>
      <t>Version updates:</t>
    </r>
    <r>
      <rPr>
        <sz val="10"/>
        <color rgb="FF000000"/>
        <rFont val="Calibri"/>
        <family val="2"/>
      </rPr>
      <t xml:space="preserve"> The name has been updated to reflect the name of the regulation - the Net Zero Framework (MEPC83/WP11) from the agreement reached in April 2025 at MEPC 83. In some cases, such as the GFI reduction factors 2035 to 2040, only Tier 2 2040 value has been decided. In these cases we made an assumption as to the future valuea. We limited the timeline to 2040 due to high uncertainty in later years. We also added the ability to limit strategies 1 &amp; 2 to RUs (no drop-in bio).</t>
    </r>
  </si>
  <si>
    <t>According to NZF Regulation 36 (9), the Remedial Unit for Tier 2 is set at $380 per tonne of CO2eq. The first option is "Fixed tier 2 RU at 380", which assumes that the RU does not change through 2040. The second option is to enter a Tier 2 RU price. This is based on Regulation 36 (10) which states that a mechanism will be put into place to define both tiers of the remedial units starting in 2031. The price the user enters will then take effect from 2031 through 2040.</t>
  </si>
  <si>
    <r>
      <rPr>
        <b/>
        <sz val="9"/>
        <color theme="0"/>
        <rFont val="Calibri"/>
        <family val="2"/>
        <scheme val="minor"/>
      </rPr>
      <t>Example Reward Rates</t>
    </r>
    <r>
      <rPr>
        <sz val="9"/>
        <color theme="0"/>
        <rFont val="Calibri"/>
        <family val="2"/>
        <scheme val="minor"/>
      </rPr>
      <t xml:space="preserve"> are based on internal MMMCZCS forecast based on anticipated revenue and the amount of ZNZ energy expected to be elligible for the reward. '</t>
    </r>
    <r>
      <rPr>
        <b/>
        <sz val="9"/>
        <color theme="0"/>
        <rFont val="Calibri"/>
        <family val="2"/>
        <scheme val="minor"/>
      </rPr>
      <t>CIA Reward Rates</t>
    </r>
    <r>
      <rPr>
        <sz val="9"/>
        <color theme="0"/>
        <rFont val="Calibri"/>
        <family val="2"/>
        <scheme val="minor"/>
      </rPr>
      <t xml:space="preserve">' are based on scenarios from the Comprehensive Impact Assessment (CIA) by DNV for MEPC 82 using the cost gap between bio-methane and e-ammoni. The 90 to 60% or 105% refer to the share of cost gap covered by the reward. </t>
    </r>
    <r>
      <rPr>
        <b/>
        <sz val="9"/>
        <color theme="0"/>
        <rFont val="Calibri"/>
        <family val="2"/>
        <scheme val="minor"/>
      </rPr>
      <t>Note: It is assumed here that rewards will not be disbursed before 2030.</t>
    </r>
  </si>
  <si>
    <t>MMMCZCS, 2024 (based on e-ammonia; global average; assumes high cost electricity)</t>
  </si>
  <si>
    <t>MMMCZCS, 2024 (based on e-methanol; global average; assumes high cost electricity)</t>
  </si>
  <si>
    <t>MMMCZCS, 2024 (average of global e-ammonia and e-methanol)</t>
  </si>
  <si>
    <t>Here the costs are global averages for e-ammonia (low) and e-methanol (high) from our Fuel Cost Calculator assuming high cost of electricity. Note: the costs vary over time assuming learning curves, therefore, this mimics spot prices.</t>
  </si>
  <si>
    <r>
      <rPr>
        <b/>
        <i/>
        <sz val="16"/>
        <color theme="1"/>
        <rFont val="Calibri"/>
        <family val="2"/>
        <scheme val="minor"/>
      </rPr>
      <t xml:space="preserve">Note on the GFI emission factors: </t>
    </r>
    <r>
      <rPr>
        <i/>
        <sz val="16"/>
        <color theme="1"/>
        <rFont val="Calibri"/>
        <family val="2"/>
        <scheme val="minor"/>
      </rPr>
      <t>The emission factors used in this tool are the current understanding of what emissions could be under the IMO LCA framework, however, the LCA guidance is not complete. Furthermore, users should be aware that actual emission intensities can differ significantly depending on factors like feedstock, production method, and geography — especially for biofuels like bio-methane and bio-diesel. We recommend sensitivity testing and caution against using these values for investment decisions without further validation.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</si>
</sst>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
    <numFmt numFmtId="166" formatCode="_-* #,##0_-;\-* #,##0_-;_-* &quot;-&quot;??_-;_-@_-"/>
    <numFmt numFmtId="167" formatCode="0.0%"/>
  </numFmts>
  <fonts count="5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10"/>
      <color theme="1"/>
      <name val="Calibri"/>
      <family val="2"/>
      <scheme val="minor"/>
    </font>
    <font>
      <b/>
      <sz val="14"/>
      <color theme="0"/>
      <name val="Calibri"/>
      <family val="2"/>
      <scheme val="minor"/>
    </font>
    <font>
      <b/>
      <sz val="18"/>
      <color theme="0"/>
      <name val="Calibri Light"/>
      <family val="2"/>
      <scheme val="major"/>
    </font>
    <font>
      <sz val="9"/>
      <color theme="1"/>
      <name val="Calibri"/>
      <family val="2"/>
      <scheme val="minor"/>
    </font>
    <font>
      <sz val="12"/>
      <color theme="0"/>
      <name val="Calibri"/>
      <family val="2"/>
      <scheme val="minor"/>
    </font>
    <font>
      <sz val="18"/>
      <color theme="0"/>
      <name val="Calibri Light"/>
      <family val="2"/>
      <scheme val="major"/>
    </font>
    <font>
      <b/>
      <sz val="14"/>
      <color theme="1" tint="0.249977111117893"/>
      <name val="Calibri"/>
      <family val="2"/>
      <scheme val="minor"/>
    </font>
    <font>
      <b/>
      <sz val="11"/>
      <color rgb="FFB8E0C2"/>
      <name val="Calibri"/>
      <family val="2"/>
      <scheme val="minor"/>
    </font>
    <font>
      <i/>
      <sz val="11"/>
      <color theme="1"/>
      <name val="Calibri"/>
      <family val="2"/>
      <scheme val="minor"/>
    </font>
    <font>
      <i/>
      <sz val="12"/>
      <color theme="8" tint="-0.499984740745262"/>
      <name val="Calibri"/>
      <family val="2"/>
      <scheme val="minor"/>
    </font>
    <font>
      <i/>
      <sz val="12"/>
      <color rgb="FF4C7870"/>
      <name val="Calibri"/>
      <family val="2"/>
      <scheme val="minor"/>
    </font>
    <font>
      <sz val="9"/>
      <color theme="0"/>
      <name val="Calibri"/>
      <family val="2"/>
      <scheme val="minor"/>
    </font>
    <font>
      <i/>
      <sz val="11"/>
      <color rgb="FF4C7870"/>
      <name val="Calibri"/>
      <family val="2"/>
      <scheme val="minor"/>
    </font>
    <font>
      <u/>
      <sz val="11"/>
      <color rgb="FFB8E0C2"/>
      <name val="Calibri"/>
      <family val="2"/>
      <scheme val="minor"/>
    </font>
    <font>
      <i/>
      <sz val="10"/>
      <color rgb="FF4C7870"/>
      <name val="Calibri"/>
      <family val="2"/>
      <scheme val="minor"/>
    </font>
    <font>
      <sz val="11"/>
      <color theme="0" tint="-0.249977111117893"/>
      <name val="Calibri"/>
      <family val="2"/>
      <scheme val="minor"/>
    </font>
    <font>
      <b/>
      <i/>
      <sz val="11"/>
      <color theme="0"/>
      <name val="Calibri"/>
      <family val="2"/>
      <scheme val="minor"/>
    </font>
    <font>
      <b/>
      <i/>
      <sz val="11"/>
      <color theme="1"/>
      <name val="Calibri"/>
      <family val="2"/>
      <scheme val="minor"/>
    </font>
    <font>
      <sz val="11"/>
      <color rgb="FF5E948A"/>
      <name val="Calibri"/>
      <family val="2"/>
      <scheme val="minor"/>
    </font>
    <font>
      <i/>
      <u/>
      <sz val="11"/>
      <color theme="1"/>
      <name val="Calibri"/>
      <family val="2"/>
      <scheme val="minor"/>
    </font>
    <font>
      <sz val="11"/>
      <color rgb="FFC00000"/>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b/>
      <sz val="10"/>
      <color theme="1"/>
      <name val="Calibri"/>
      <family val="2"/>
      <scheme val="minor"/>
    </font>
    <font>
      <b/>
      <sz val="20"/>
      <color theme="0"/>
      <name val="Calibri Light"/>
      <family val="2"/>
      <scheme val="major"/>
    </font>
    <font>
      <u/>
      <sz val="10"/>
      <color rgb="FFB8E0C2"/>
      <name val="Calibri"/>
      <family val="2"/>
      <scheme val="minor"/>
    </font>
    <font>
      <i/>
      <sz val="11"/>
      <color theme="0"/>
      <name val="Calibri"/>
      <family val="2"/>
      <scheme val="minor"/>
    </font>
    <font>
      <b/>
      <i/>
      <sz val="14"/>
      <color theme="0"/>
      <name val="Calibri"/>
      <family val="2"/>
      <scheme val="minor"/>
    </font>
    <font>
      <sz val="10"/>
      <color rgb="FF000000"/>
      <name val="Calibri"/>
      <family val="2"/>
    </font>
    <font>
      <b/>
      <sz val="10"/>
      <color rgb="FF000000"/>
      <name val="Calibri"/>
      <family val="2"/>
    </font>
    <font>
      <b/>
      <sz val="11"/>
      <color theme="0" tint="-0.249977111117893"/>
      <name val="Calibri"/>
      <family val="2"/>
      <scheme val="minor"/>
    </font>
    <font>
      <i/>
      <sz val="11"/>
      <color theme="0" tint="-0.249977111117893"/>
      <name val="Calibri"/>
      <family val="2"/>
      <scheme val="minor"/>
    </font>
    <font>
      <b/>
      <sz val="14"/>
      <color theme="0" tint="-0.249977111117893"/>
      <name val="Calibri"/>
      <family val="2"/>
      <scheme val="minor"/>
    </font>
    <font>
      <b/>
      <i/>
      <sz val="11"/>
      <color rgb="FFF7BE4B"/>
      <name val="Calibri"/>
      <family val="2"/>
      <scheme val="minor"/>
    </font>
    <font>
      <i/>
      <sz val="9"/>
      <color theme="0"/>
      <name val="Calibri"/>
      <family val="2"/>
      <scheme val="minor"/>
    </font>
    <font>
      <b/>
      <sz val="9"/>
      <color theme="0"/>
      <name val="Calibri"/>
      <family val="2"/>
      <scheme val="minor"/>
    </font>
    <font>
      <u/>
      <sz val="10"/>
      <color rgb="FF4C7870"/>
      <name val="Calibri"/>
      <family val="2"/>
      <scheme val="minor"/>
    </font>
    <font>
      <i/>
      <u/>
      <sz val="8"/>
      <color theme="1"/>
      <name val="Calibri"/>
      <family val="2"/>
      <scheme val="minor"/>
    </font>
    <font>
      <i/>
      <sz val="8"/>
      <color theme="1"/>
      <name val="Calibri"/>
      <family val="2"/>
      <scheme val="minor"/>
    </font>
    <font>
      <sz val="8"/>
      <name val="Calibri"/>
      <family val="2"/>
      <scheme val="minor"/>
    </font>
    <font>
      <i/>
      <sz val="11"/>
      <color rgb="FFF7BE4B"/>
      <name val="Calibri"/>
      <family val="2"/>
      <scheme val="minor"/>
    </font>
    <font>
      <b/>
      <sz val="10"/>
      <color rgb="FF000000"/>
      <name val="Arial"/>
      <family val="2"/>
    </font>
    <font>
      <i/>
      <u/>
      <sz val="10"/>
      <color theme="1"/>
      <name val="Calibri"/>
      <family val="2"/>
      <scheme val="minor"/>
    </font>
    <font>
      <b/>
      <sz val="11"/>
      <color theme="0"/>
      <name val="Calibri Light"/>
      <family val="2"/>
      <scheme val="major"/>
    </font>
    <font>
      <b/>
      <i/>
      <sz val="12"/>
      <color rgb="FF3C5E86"/>
      <name val="Calibri"/>
      <family val="2"/>
      <scheme val="minor"/>
    </font>
    <font>
      <sz val="8"/>
      <color theme="1"/>
      <name val="Arial"/>
      <family val="2"/>
    </font>
    <font>
      <b/>
      <sz val="8"/>
      <color theme="1"/>
      <name val="Calibri"/>
      <family val="2"/>
      <scheme val="minor"/>
    </font>
    <font>
      <sz val="8"/>
      <color theme="1"/>
      <name val="Calibri"/>
      <family val="2"/>
      <scheme val="minor"/>
    </font>
    <font>
      <b/>
      <i/>
      <sz val="10"/>
      <color rgb="FF000000"/>
      <name val="Calibri"/>
      <family val="2"/>
    </font>
    <font>
      <i/>
      <sz val="11"/>
      <color theme="0"/>
      <name val="Calibri Light"/>
      <family val="2"/>
      <scheme val="major"/>
    </font>
    <font>
      <i/>
      <sz val="16"/>
      <color theme="1"/>
      <name val="Calibri"/>
      <family val="2"/>
      <scheme val="minor"/>
    </font>
    <font>
      <b/>
      <i/>
      <sz val="16"/>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rgb="FF4C7870"/>
        <bgColor indexed="64"/>
      </patternFill>
    </fill>
    <fill>
      <patternFill patternType="solid">
        <fgColor rgb="FF3C5E86"/>
        <bgColor indexed="64"/>
      </patternFill>
    </fill>
    <fill>
      <patternFill patternType="solid">
        <fgColor rgb="FF5E948A"/>
        <bgColor indexed="64"/>
      </patternFill>
    </fill>
    <fill>
      <patternFill patternType="solid">
        <fgColor theme="8" tint="0.79998168889431442"/>
        <bgColor indexed="64"/>
      </patternFill>
    </fill>
    <fill>
      <patternFill patternType="solid">
        <fgColor rgb="FFBFD7D2"/>
        <bgColor indexed="64"/>
      </patternFill>
    </fill>
    <fill>
      <patternFill patternType="solid">
        <fgColor theme="1" tint="0.34998626667073579"/>
        <bgColor indexed="64"/>
      </patternFill>
    </fill>
    <fill>
      <patternFill patternType="solid">
        <fgColor rgb="FFC0CF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rgb="FF7F7F7F"/>
      </left>
      <right style="double">
        <color rgb="FF7F7F7F"/>
      </right>
      <top style="double">
        <color rgb="FF7F7F7F"/>
      </top>
      <bottom style="double">
        <color rgb="FF7F7F7F"/>
      </bottom>
      <diagonal/>
    </border>
    <border>
      <left style="double">
        <color rgb="FF7F7F7F"/>
      </left>
      <right/>
      <top/>
      <bottom/>
      <diagonal/>
    </border>
    <border>
      <left/>
      <right/>
      <top/>
      <bottom style="thin">
        <color auto="1"/>
      </bottom>
      <diagonal/>
    </border>
    <border>
      <left/>
      <right/>
      <top/>
      <bottom style="double">
        <color indexed="64"/>
      </bottom>
      <diagonal/>
    </border>
    <border>
      <left style="double">
        <color rgb="FF7F7F7F"/>
      </left>
      <right/>
      <top style="double">
        <color rgb="FF7F7F7F"/>
      </top>
      <bottom style="double">
        <color rgb="FF7F7F7F"/>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top style="thin">
        <color indexed="64"/>
      </top>
      <bottom/>
      <diagonal/>
    </border>
    <border>
      <left style="thin">
        <color indexed="64"/>
      </left>
      <right style="thin">
        <color indexed="64"/>
      </right>
      <top style="thin">
        <color indexed="64"/>
      </top>
      <bottom/>
      <diagonal/>
    </border>
    <border>
      <left/>
      <right style="thin">
        <color theme="0"/>
      </right>
      <top style="thin">
        <color theme="0"/>
      </top>
      <bottom style="thin">
        <color theme="0"/>
      </bottom>
      <diagonal/>
    </border>
    <border>
      <left/>
      <right/>
      <top style="thin">
        <color theme="0"/>
      </top>
      <bottom style="thin">
        <color theme="0"/>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5" fillId="6" borderId="3" applyNumberFormat="0" applyAlignment="0" applyProtection="0"/>
    <xf numFmtId="0" fontId="5"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94">
    <xf numFmtId="0" fontId="0" fillId="0" borderId="0" xfId="0"/>
    <xf numFmtId="0" fontId="3" fillId="0" borderId="0" xfId="0" applyFont="1"/>
    <xf numFmtId="0" fontId="7" fillId="4" borderId="0" xfId="0" applyFont="1" applyFill="1" applyAlignment="1" applyProtection="1">
      <alignment vertical="center" textRotation="90"/>
      <protection locked="0"/>
    </xf>
    <xf numFmtId="0" fontId="12" fillId="5" borderId="0" xfId="0" applyFont="1" applyFill="1" applyAlignment="1" applyProtection="1">
      <alignment vertical="center"/>
      <protection locked="0"/>
    </xf>
    <xf numFmtId="0" fontId="13" fillId="5" borderId="0" xfId="0" applyFont="1" applyFill="1" applyAlignment="1" applyProtection="1">
      <alignment vertical="center"/>
      <protection locked="0"/>
    </xf>
    <xf numFmtId="0" fontId="16" fillId="7" borderId="3" xfId="3" applyFont="1" applyFill="1" applyAlignment="1" applyProtection="1">
      <alignment horizontal="center" vertical="center"/>
      <protection locked="0"/>
    </xf>
    <xf numFmtId="0" fontId="6" fillId="3" borderId="0" xfId="0" applyFont="1" applyFill="1" applyAlignment="1" applyProtection="1">
      <alignment horizontal="center" vertical="center"/>
      <protection locked="0"/>
    </xf>
    <xf numFmtId="1" fontId="16" fillId="7" borderId="3" xfId="1" applyNumberFormat="1" applyFont="1" applyFill="1" applyBorder="1" applyAlignment="1" applyProtection="1">
      <alignment horizontal="center" vertical="center"/>
      <protection locked="0"/>
    </xf>
    <xf numFmtId="0" fontId="20" fillId="7" borderId="3" xfId="3" applyFont="1" applyFill="1" applyAlignment="1" applyProtection="1">
      <alignment horizontal="center" vertical="center"/>
      <protection locked="0"/>
    </xf>
    <xf numFmtId="0" fontId="19" fillId="3" borderId="0" xfId="2" applyFont="1" applyFill="1" applyAlignment="1" applyProtection="1">
      <alignment vertical="center"/>
      <protection locked="0"/>
    </xf>
    <xf numFmtId="0" fontId="0" fillId="3" borderId="0" xfId="0" applyFill="1" applyAlignment="1" applyProtection="1">
      <alignment horizontal="left" vertical="center"/>
      <protection locked="0"/>
    </xf>
    <xf numFmtId="0" fontId="0" fillId="3" borderId="0" xfId="0" applyFill="1" applyAlignment="1" applyProtection="1">
      <alignment vertical="center"/>
      <protection locked="0"/>
    </xf>
    <xf numFmtId="0" fontId="6" fillId="0" borderId="0" xfId="0" applyFont="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14" fillId="0" borderId="0" xfId="0" applyFont="1" applyAlignment="1" applyProtection="1">
      <alignment horizontal="left" vertical="center"/>
      <protection locked="0"/>
    </xf>
    <xf numFmtId="0" fontId="3" fillId="0" borderId="0" xfId="0" applyFont="1" applyAlignment="1" applyProtection="1">
      <alignment vertical="center"/>
      <protection locked="0"/>
    </xf>
    <xf numFmtId="2" fontId="0" fillId="0" borderId="0" xfId="0" applyNumberFormat="1" applyAlignment="1" applyProtection="1">
      <alignment vertical="center"/>
      <protection locked="0"/>
    </xf>
    <xf numFmtId="2" fontId="0" fillId="0" borderId="5" xfId="0" applyNumberFormat="1" applyBorder="1" applyAlignment="1" applyProtection="1">
      <alignment vertical="center"/>
      <protection locked="0"/>
    </xf>
    <xf numFmtId="0" fontId="14" fillId="0" borderId="0" xfId="0" applyFont="1" applyAlignment="1" applyProtection="1">
      <alignment vertical="center"/>
      <protection locked="0"/>
    </xf>
    <xf numFmtId="0" fontId="0" fillId="0" borderId="0" xfId="0" applyAlignment="1">
      <alignment vertical="center"/>
    </xf>
    <xf numFmtId="0" fontId="14" fillId="0" borderId="0" xfId="0" applyFont="1" applyAlignment="1">
      <alignment horizontal="left" vertical="center"/>
    </xf>
    <xf numFmtId="0" fontId="14" fillId="0" borderId="5" xfId="0" applyFont="1" applyBorder="1" applyAlignment="1" applyProtection="1">
      <alignment horizontal="left" vertical="center"/>
      <protection locked="0"/>
    </xf>
    <xf numFmtId="0" fontId="14" fillId="2" borderId="0" xfId="0" applyFont="1" applyFill="1" applyAlignment="1" applyProtection="1">
      <alignment horizontal="left" vertical="center"/>
      <protection locked="0"/>
    </xf>
    <xf numFmtId="2" fontId="0" fillId="2" borderId="0" xfId="0" applyNumberFormat="1" applyFill="1" applyAlignment="1" applyProtection="1">
      <alignment vertical="center"/>
      <protection locked="0"/>
    </xf>
    <xf numFmtId="0" fontId="25" fillId="0" borderId="0" xfId="4" applyFont="1" applyFill="1" applyBorder="1" applyAlignment="1" applyProtection="1">
      <alignment vertical="center"/>
      <protection locked="0"/>
    </xf>
    <xf numFmtId="2" fontId="0" fillId="0" borderId="0" xfId="0" applyNumberFormat="1" applyAlignment="1">
      <alignment vertical="center"/>
    </xf>
    <xf numFmtId="0" fontId="3" fillId="0" borderId="2" xfId="0" applyFont="1" applyBorder="1" applyAlignment="1">
      <alignment vertical="center"/>
    </xf>
    <xf numFmtId="0" fontId="23" fillId="0" borderId="2" xfId="0" applyFont="1" applyBorder="1" applyAlignment="1" applyProtection="1">
      <alignment horizontal="left" vertical="center"/>
      <protection locked="0"/>
    </xf>
    <xf numFmtId="0" fontId="3" fillId="0" borderId="2" xfId="0" applyFont="1" applyBorder="1" applyAlignment="1" applyProtection="1">
      <alignment vertical="center"/>
      <protection locked="0"/>
    </xf>
    <xf numFmtId="0" fontId="25" fillId="2" borderId="0" xfId="4" applyFont="1" applyFill="1" applyBorder="1" applyAlignment="1" applyProtection="1">
      <alignment vertical="center"/>
      <protection locked="0"/>
    </xf>
    <xf numFmtId="0" fontId="0" fillId="2" borderId="0" xfId="0" applyFill="1" applyAlignment="1" applyProtection="1">
      <alignment vertical="center"/>
      <protection locked="0"/>
    </xf>
    <xf numFmtId="0" fontId="14" fillId="0" borderId="0" xfId="0" applyFont="1" applyAlignment="1">
      <alignment vertical="center"/>
    </xf>
    <xf numFmtId="0" fontId="25" fillId="0" borderId="5" xfId="4" applyFont="1" applyFill="1" applyBorder="1" applyAlignment="1" applyProtection="1">
      <alignment vertical="center"/>
      <protection locked="0"/>
    </xf>
    <xf numFmtId="0" fontId="0" fillId="0" borderId="5" xfId="0" applyBorder="1" applyAlignment="1" applyProtection="1">
      <alignment vertical="center"/>
      <protection locked="0"/>
    </xf>
    <xf numFmtId="0" fontId="3" fillId="0" borderId="2" xfId="0" applyFont="1" applyBorder="1" applyAlignment="1" applyProtection="1">
      <alignment horizontal="left" vertical="center" wrapText="1"/>
      <protection locked="0"/>
    </xf>
    <xf numFmtId="0" fontId="25" fillId="0" borderId="0" xfId="4" applyFont="1" applyFill="1" applyAlignment="1" applyProtection="1">
      <alignment horizontal="left" vertical="center"/>
      <protection locked="0"/>
    </xf>
    <xf numFmtId="0" fontId="17" fillId="3" borderId="0" xfId="0" applyFont="1" applyFill="1" applyAlignment="1" applyProtection="1">
      <alignment horizontal="left" vertical="center" wrapText="1"/>
      <protection locked="0"/>
    </xf>
    <xf numFmtId="0" fontId="16" fillId="7" borderId="7" xfId="3" applyFont="1" applyFill="1" applyBorder="1" applyAlignment="1" applyProtection="1">
      <alignment horizontal="center" vertical="center"/>
      <protection locked="0"/>
    </xf>
    <xf numFmtId="0" fontId="21" fillId="0" borderId="0" xfId="0" applyFont="1" applyAlignment="1" applyProtection="1">
      <alignment vertical="center"/>
      <protection locked="0"/>
    </xf>
    <xf numFmtId="0" fontId="28" fillId="3" borderId="0" xfId="0" applyFont="1" applyFill="1" applyAlignment="1" applyProtection="1">
      <alignment vertical="center"/>
      <protection locked="0"/>
    </xf>
    <xf numFmtId="0" fontId="4" fillId="3" borderId="0" xfId="0" applyFont="1" applyFill="1" applyAlignment="1" applyProtection="1">
      <alignment vertical="center"/>
      <protection locked="0"/>
    </xf>
    <xf numFmtId="0" fontId="9" fillId="0" borderId="0" xfId="0" applyFont="1" applyAlignment="1" applyProtection="1">
      <alignment vertical="center"/>
      <protection locked="0"/>
    </xf>
    <xf numFmtId="0" fontId="24" fillId="0" borderId="0" xfId="0" applyFont="1" applyAlignment="1" applyProtection="1">
      <alignment vertical="center"/>
      <protection locked="0"/>
    </xf>
    <xf numFmtId="0" fontId="10" fillId="3" borderId="0" xfId="0" applyFont="1" applyFill="1" applyAlignment="1" applyProtection="1">
      <alignment horizontal="center" vertical="center" wrapText="1"/>
      <protection locked="0"/>
    </xf>
    <xf numFmtId="0" fontId="7" fillId="4" borderId="0" xfId="0" applyFont="1" applyFill="1" applyAlignment="1" applyProtection="1">
      <alignment vertical="center"/>
      <protection locked="0"/>
    </xf>
    <xf numFmtId="0" fontId="3" fillId="8" borderId="0" xfId="0" applyFont="1" applyFill="1" applyAlignment="1" applyProtection="1">
      <alignment vertical="center"/>
      <protection locked="0"/>
    </xf>
    <xf numFmtId="0" fontId="2" fillId="5" borderId="0" xfId="0" applyFont="1" applyFill="1" applyAlignment="1" applyProtection="1">
      <alignment vertical="center"/>
      <protection locked="0"/>
    </xf>
    <xf numFmtId="0" fontId="8" fillId="5" borderId="0" xfId="0" applyFont="1" applyFill="1" applyAlignment="1" applyProtection="1">
      <alignment vertical="center"/>
      <protection locked="0"/>
    </xf>
    <xf numFmtId="0" fontId="0" fillId="8" borderId="0" xfId="0" applyFill="1" applyAlignment="1" applyProtection="1">
      <alignment vertical="center"/>
      <protection locked="0"/>
    </xf>
    <xf numFmtId="0" fontId="6" fillId="8" borderId="0" xfId="0" applyFont="1" applyFill="1" applyAlignment="1" applyProtection="1">
      <alignment horizontal="center" vertical="center"/>
      <protection locked="0"/>
    </xf>
    <xf numFmtId="0" fontId="32" fillId="3" borderId="0" xfId="2" applyFont="1" applyFill="1" applyAlignment="1" applyProtection="1">
      <alignment vertical="center"/>
      <protection locked="0"/>
    </xf>
    <xf numFmtId="0" fontId="11" fillId="4" borderId="0" xfId="0" applyFont="1" applyFill="1" applyAlignment="1" applyProtection="1">
      <alignment vertical="center"/>
      <protection locked="0"/>
    </xf>
    <xf numFmtId="0" fontId="0" fillId="4" borderId="0" xfId="0" applyFill="1" applyAlignment="1" applyProtection="1">
      <alignment vertical="center"/>
      <protection locked="0"/>
    </xf>
    <xf numFmtId="0" fontId="21" fillId="4" borderId="0" xfId="0" applyFont="1" applyFill="1" applyAlignment="1" applyProtection="1">
      <alignment vertical="center"/>
      <protection locked="0"/>
    </xf>
    <xf numFmtId="0" fontId="4" fillId="4" borderId="0" xfId="0" applyFont="1" applyFill="1" applyAlignment="1" applyProtection="1">
      <alignment vertical="center"/>
      <protection locked="0"/>
    </xf>
    <xf numFmtId="0" fontId="33" fillId="4" borderId="0" xfId="0" applyFont="1" applyFill="1" applyAlignment="1" applyProtection="1">
      <alignment vertical="center"/>
      <protection locked="0"/>
    </xf>
    <xf numFmtId="0" fontId="22" fillId="4" borderId="0" xfId="0" applyFont="1" applyFill="1" applyAlignment="1" applyProtection="1">
      <alignment vertical="center"/>
      <protection locked="0"/>
    </xf>
    <xf numFmtId="0" fontId="33" fillId="4" borderId="0" xfId="0" applyFont="1" applyFill="1" applyAlignment="1" applyProtection="1">
      <alignment horizontal="left" vertical="center"/>
      <protection locked="0"/>
    </xf>
    <xf numFmtId="0" fontId="22" fillId="4" borderId="0" xfId="0" applyFont="1" applyFill="1" applyAlignment="1" applyProtection="1">
      <alignment horizontal="left" vertical="center"/>
      <protection locked="0"/>
    </xf>
    <xf numFmtId="0" fontId="34" fillId="4" borderId="0" xfId="0" applyFont="1" applyFill="1" applyAlignment="1" applyProtection="1">
      <alignment vertical="center"/>
      <protection locked="0"/>
    </xf>
    <xf numFmtId="0" fontId="18" fillId="7" borderId="3" xfId="3" applyFont="1" applyFill="1" applyAlignment="1" applyProtection="1">
      <alignment horizontal="center" vertical="center" wrapText="1"/>
      <protection locked="0"/>
    </xf>
    <xf numFmtId="0" fontId="11" fillId="4" borderId="0" xfId="0" applyFont="1" applyFill="1" applyProtection="1">
      <protection locked="0"/>
    </xf>
    <xf numFmtId="0" fontId="37" fillId="4" borderId="0" xfId="0" applyFont="1" applyFill="1" applyProtection="1">
      <protection locked="0"/>
    </xf>
    <xf numFmtId="0" fontId="38" fillId="4" borderId="0" xfId="0" applyFont="1" applyFill="1" applyAlignment="1" applyProtection="1">
      <alignment vertical="center"/>
      <protection locked="0"/>
    </xf>
    <xf numFmtId="0" fontId="39" fillId="4" borderId="0" xfId="0" applyFont="1" applyFill="1" applyAlignment="1" applyProtection="1">
      <alignment vertical="center"/>
      <protection locked="0"/>
    </xf>
    <xf numFmtId="0" fontId="0" fillId="0" borderId="0" xfId="0" applyAlignment="1">
      <alignment horizontal="right"/>
    </xf>
    <xf numFmtId="0" fontId="14" fillId="0" borderId="0" xfId="0" applyFont="1"/>
    <xf numFmtId="0" fontId="14" fillId="0" borderId="0" xfId="0" applyFont="1" applyAlignment="1">
      <alignment horizontal="left"/>
    </xf>
    <xf numFmtId="0" fontId="23" fillId="0" borderId="2" xfId="0" applyFont="1" applyBorder="1" applyAlignment="1" applyProtection="1">
      <alignment horizontal="left" vertical="center" wrapText="1"/>
      <protection locked="0"/>
    </xf>
    <xf numFmtId="2" fontId="0" fillId="0" borderId="0" xfId="0" applyNumberFormat="1"/>
    <xf numFmtId="0" fontId="14" fillId="0" borderId="0" xfId="0" applyFont="1" applyAlignment="1" applyProtection="1">
      <alignment horizontal="left"/>
      <protection locked="0"/>
    </xf>
    <xf numFmtId="0" fontId="3" fillId="0" borderId="0" xfId="0" applyFont="1" applyAlignment="1">
      <alignment horizontal="right"/>
    </xf>
    <xf numFmtId="0" fontId="0" fillId="0" borderId="0" xfId="0" quotePrefix="1" applyAlignment="1" applyProtection="1">
      <alignment vertical="center"/>
      <protection locked="0"/>
    </xf>
    <xf numFmtId="0" fontId="0" fillId="0" borderId="5" xfId="0" quotePrefix="1" applyBorder="1" applyAlignment="1" applyProtection="1">
      <alignment vertical="center"/>
      <protection locked="0"/>
    </xf>
    <xf numFmtId="0" fontId="14" fillId="0" borderId="5" xfId="0" applyFont="1" applyBorder="1" applyAlignment="1" applyProtection="1">
      <alignment vertical="center"/>
      <protection locked="0"/>
    </xf>
    <xf numFmtId="0" fontId="26" fillId="0" borderId="0" xfId="0" applyFont="1"/>
    <xf numFmtId="0" fontId="3" fillId="0" borderId="0" xfId="0" applyFont="1" applyAlignment="1" applyProtection="1">
      <alignment horizontal="right" vertical="center"/>
      <protection locked="0"/>
    </xf>
    <xf numFmtId="0" fontId="23" fillId="0" borderId="0" xfId="0" applyFont="1" applyAlignment="1" applyProtection="1">
      <alignment vertical="center"/>
      <protection locked="0"/>
    </xf>
    <xf numFmtId="0" fontId="23" fillId="0" borderId="0" xfId="0" applyFont="1" applyAlignment="1" applyProtection="1">
      <alignment horizontal="left" vertical="center"/>
      <protection locked="0"/>
    </xf>
    <xf numFmtId="0" fontId="3" fillId="0" borderId="6" xfId="0" applyFont="1" applyBorder="1" applyAlignment="1" applyProtection="1">
      <alignment vertical="center"/>
      <protection locked="0"/>
    </xf>
    <xf numFmtId="0" fontId="23" fillId="0" borderId="6" xfId="0" applyFont="1" applyBorder="1" applyAlignment="1" applyProtection="1">
      <alignment vertical="center"/>
      <protection locked="0"/>
    </xf>
    <xf numFmtId="0" fontId="23" fillId="0" borderId="6" xfId="0" applyFont="1" applyBorder="1" applyAlignment="1" applyProtection="1">
      <alignment horizontal="left" vertical="center"/>
      <protection locked="0"/>
    </xf>
    <xf numFmtId="0" fontId="3" fillId="0" borderId="0" xfId="0" quotePrefix="1" applyFont="1" applyAlignment="1" applyProtection="1">
      <alignment vertical="center"/>
      <protection locked="0"/>
    </xf>
    <xf numFmtId="0" fontId="3" fillId="0" borderId="6" xfId="0" quotePrefix="1" applyFont="1" applyBorder="1" applyAlignment="1" applyProtection="1">
      <alignment vertical="center"/>
      <protection locked="0"/>
    </xf>
    <xf numFmtId="0" fontId="23" fillId="0" borderId="6" xfId="0" quotePrefix="1" applyFont="1" applyBorder="1" applyAlignment="1" applyProtection="1">
      <alignment vertical="center"/>
      <protection locked="0"/>
    </xf>
    <xf numFmtId="0" fontId="14" fillId="0" borderId="6" xfId="0" applyFont="1" applyBorder="1" applyAlignment="1" applyProtection="1">
      <alignment vertical="center"/>
      <protection locked="0"/>
    </xf>
    <xf numFmtId="0" fontId="14" fillId="0" borderId="6" xfId="0" applyFont="1" applyBorder="1" applyAlignment="1" applyProtection="1">
      <alignment horizontal="left" vertical="center"/>
      <protection locked="0"/>
    </xf>
    <xf numFmtId="0" fontId="40" fillId="3" borderId="0" xfId="0" applyFont="1" applyFill="1" applyAlignment="1" applyProtection="1">
      <alignment vertical="center"/>
      <protection locked="0"/>
    </xf>
    <xf numFmtId="1" fontId="33" fillId="4" borderId="9" xfId="0" applyNumberFormat="1" applyFont="1" applyFill="1" applyBorder="1" applyAlignment="1">
      <alignment vertical="center"/>
    </xf>
    <xf numFmtId="0" fontId="33" fillId="4" borderId="0" xfId="0" applyFont="1" applyFill="1" applyAlignment="1">
      <alignment vertical="center"/>
    </xf>
    <xf numFmtId="0" fontId="33" fillId="4" borderId="0" xfId="0" quotePrefix="1" applyFont="1" applyFill="1" applyAlignment="1">
      <alignment vertical="center"/>
    </xf>
    <xf numFmtId="0" fontId="41" fillId="4" borderId="0" xfId="0" applyFont="1" applyFill="1" applyAlignment="1">
      <alignment horizontal="left" vertical="center"/>
    </xf>
    <xf numFmtId="0" fontId="22" fillId="4" borderId="0" xfId="0" applyFont="1" applyFill="1" applyAlignment="1">
      <alignment vertical="center"/>
    </xf>
    <xf numFmtId="0" fontId="34" fillId="4" borderId="0" xfId="0" applyFont="1" applyFill="1" applyAlignment="1">
      <alignment vertical="center"/>
    </xf>
    <xf numFmtId="0" fontId="23" fillId="0" borderId="2" xfId="0" applyFont="1" applyBorder="1" applyAlignment="1">
      <alignment horizontal="left" vertical="center" wrapText="1"/>
    </xf>
    <xf numFmtId="0" fontId="14" fillId="0" borderId="1" xfId="0" applyFont="1" applyBorder="1" applyAlignment="1">
      <alignment vertical="center"/>
    </xf>
    <xf numFmtId="0" fontId="14" fillId="0" borderId="0" xfId="0" quotePrefix="1" applyFont="1" applyAlignment="1">
      <alignment vertical="center"/>
    </xf>
    <xf numFmtId="0" fontId="14" fillId="0" borderId="5" xfId="0" quotePrefix="1" applyFont="1" applyBorder="1" applyAlignment="1">
      <alignment vertical="center"/>
    </xf>
    <xf numFmtId="0" fontId="14" fillId="0" borderId="8" xfId="0" applyFont="1" applyBorder="1" applyAlignment="1">
      <alignment vertical="center"/>
    </xf>
    <xf numFmtId="0" fontId="23" fillId="0" borderId="2" xfId="0" applyFont="1" applyBorder="1" applyAlignment="1">
      <alignment horizontal="left" vertical="center"/>
    </xf>
    <xf numFmtId="0" fontId="3" fillId="0" borderId="2" xfId="0" applyFont="1" applyBorder="1" applyAlignment="1">
      <alignment horizontal="left" vertical="center" wrapText="1"/>
    </xf>
    <xf numFmtId="2" fontId="3" fillId="0" borderId="0" xfId="0" quotePrefix="1" applyNumberFormat="1" applyFont="1"/>
    <xf numFmtId="2" fontId="0" fillId="0" borderId="0" xfId="0" quotePrefix="1" applyNumberFormat="1" applyAlignment="1">
      <alignment vertical="center"/>
    </xf>
    <xf numFmtId="2" fontId="0" fillId="0" borderId="5" xfId="0" quotePrefix="1" applyNumberFormat="1" applyBorder="1" applyAlignment="1">
      <alignment vertical="center"/>
    </xf>
    <xf numFmtId="1" fontId="14" fillId="0" borderId="0" xfId="0" applyNumberFormat="1" applyFont="1" applyAlignment="1">
      <alignment horizontal="right"/>
    </xf>
    <xf numFmtId="1" fontId="3" fillId="0" borderId="0" xfId="0" applyNumberFormat="1" applyFont="1" applyAlignment="1">
      <alignment vertical="center"/>
    </xf>
    <xf numFmtId="1" fontId="3" fillId="0" borderId="6" xfId="0" applyNumberFormat="1" applyFont="1" applyBorder="1" applyAlignment="1">
      <alignment vertical="center"/>
    </xf>
    <xf numFmtId="1" fontId="3" fillId="0" borderId="0" xfId="0" applyNumberFormat="1" applyFont="1"/>
    <xf numFmtId="1" fontId="3" fillId="0" borderId="6" xfId="0" applyNumberFormat="1" applyFont="1" applyBorder="1"/>
    <xf numFmtId="2" fontId="0" fillId="2" borderId="0" xfId="0" applyNumberFormat="1" applyFill="1" applyAlignment="1">
      <alignment vertical="center"/>
    </xf>
    <xf numFmtId="0" fontId="25" fillId="2" borderId="0" xfId="4" applyFont="1" applyFill="1" applyAlignment="1" applyProtection="1">
      <alignment vertical="center"/>
      <protection locked="0"/>
    </xf>
    <xf numFmtId="2" fontId="0" fillId="2" borderId="5" xfId="0" applyNumberFormat="1" applyFill="1" applyBorder="1" applyAlignment="1">
      <alignment vertical="center"/>
    </xf>
    <xf numFmtId="0" fontId="3" fillId="0" borderId="1" xfId="0" applyFont="1" applyBorder="1"/>
    <xf numFmtId="0" fontId="0" fillId="0" borderId="1" xfId="0" applyBorder="1"/>
    <xf numFmtId="164" fontId="0" fillId="0" borderId="1" xfId="0" applyNumberFormat="1" applyBorder="1"/>
    <xf numFmtId="165" fontId="0" fillId="0" borderId="1" xfId="0" applyNumberFormat="1" applyBorder="1"/>
    <xf numFmtId="2" fontId="0" fillId="0" borderId="1" xfId="0" applyNumberFormat="1" applyBorder="1"/>
    <xf numFmtId="164" fontId="0" fillId="0" borderId="0" xfId="0" applyNumberFormat="1"/>
    <xf numFmtId="0" fontId="0" fillId="0" borderId="0" xfId="0" applyAlignment="1">
      <alignment horizontal="right" vertical="center"/>
    </xf>
    <xf numFmtId="0" fontId="14" fillId="0" borderId="5" xfId="0" applyFont="1" applyBorder="1"/>
    <xf numFmtId="0" fontId="23" fillId="0" borderId="10" xfId="0" applyFont="1" applyBorder="1" applyAlignment="1">
      <alignment horizontal="left" vertical="center" wrapText="1"/>
    </xf>
    <xf numFmtId="0" fontId="14" fillId="0" borderId="10" xfId="0" applyFont="1" applyBorder="1"/>
    <xf numFmtId="2" fontId="3" fillId="0" borderId="0" xfId="0" applyNumberFormat="1" applyFont="1"/>
    <xf numFmtId="0" fontId="47" fillId="3" borderId="0" xfId="0" applyFont="1" applyFill="1" applyAlignment="1" applyProtection="1">
      <alignment vertical="center"/>
      <protection locked="0"/>
    </xf>
    <xf numFmtId="4" fontId="48" fillId="0" borderId="0" xfId="0" applyNumberFormat="1" applyFont="1" applyAlignment="1">
      <alignment vertical="top" wrapText="1"/>
    </xf>
    <xf numFmtId="4" fontId="48" fillId="0" borderId="0" xfId="0" applyNumberFormat="1" applyFont="1" applyAlignment="1">
      <alignment vertical="top"/>
    </xf>
    <xf numFmtId="164" fontId="3" fillId="2" borderId="5" xfId="0" applyNumberFormat="1" applyFont="1" applyFill="1" applyBorder="1" applyAlignment="1">
      <alignment vertical="center"/>
    </xf>
    <xf numFmtId="2" fontId="3" fillId="0" borderId="0" xfId="0" applyNumberFormat="1" applyFont="1" applyAlignment="1" applyProtection="1">
      <alignment vertical="center"/>
      <protection locked="0"/>
    </xf>
    <xf numFmtId="2" fontId="3" fillId="0" borderId="0" xfId="0" applyNumberFormat="1" applyFont="1" applyAlignment="1" applyProtection="1">
      <alignment vertical="center" wrapText="1"/>
      <protection locked="0"/>
    </xf>
    <xf numFmtId="0" fontId="3" fillId="0" borderId="0" xfId="0" applyFont="1" applyAlignment="1">
      <alignment horizontal="right" wrapText="1"/>
    </xf>
    <xf numFmtId="1" fontId="0" fillId="0" borderId="0" xfId="0" applyNumberFormat="1"/>
    <xf numFmtId="0" fontId="25" fillId="0" borderId="0" xfId="4" applyFont="1" applyFill="1" applyAlignment="1" applyProtection="1">
      <alignment vertical="center"/>
      <protection locked="0"/>
    </xf>
    <xf numFmtId="0" fontId="14" fillId="2" borderId="0" xfId="4" applyFont="1" applyFill="1" applyAlignment="1" applyProtection="1">
      <alignment vertical="center"/>
      <protection locked="0"/>
    </xf>
    <xf numFmtId="166" fontId="14" fillId="2" borderId="0" xfId="6" applyNumberFormat="1" applyFont="1" applyFill="1" applyAlignment="1" applyProtection="1">
      <alignment vertical="center"/>
      <protection locked="0"/>
    </xf>
    <xf numFmtId="1" fontId="0" fillId="2" borderId="0" xfId="0" applyNumberFormat="1" applyFill="1" applyAlignment="1">
      <alignment vertical="center"/>
    </xf>
    <xf numFmtId="0" fontId="3" fillId="0" borderId="5" xfId="0" applyFont="1" applyBorder="1" applyAlignment="1">
      <alignment vertical="center"/>
    </xf>
    <xf numFmtId="0" fontId="23" fillId="0" borderId="5" xfId="0" applyFont="1" applyBorder="1" applyAlignment="1">
      <alignment horizontal="left" vertical="center" wrapText="1"/>
    </xf>
    <xf numFmtId="0" fontId="3" fillId="0" borderId="5" xfId="0" applyFont="1" applyBorder="1" applyAlignment="1" applyProtection="1">
      <alignment vertical="center"/>
      <protection locked="0"/>
    </xf>
    <xf numFmtId="0" fontId="0" fillId="0" borderId="10" xfId="0" applyBorder="1" applyAlignment="1">
      <alignment vertical="center"/>
    </xf>
    <xf numFmtId="0" fontId="25" fillId="0" borderId="10" xfId="4" applyFont="1" applyFill="1" applyBorder="1" applyAlignment="1" applyProtection="1">
      <alignment vertical="center"/>
      <protection locked="0"/>
    </xf>
    <xf numFmtId="0" fontId="14" fillId="0" borderId="10" xfId="0" applyFont="1" applyBorder="1" applyAlignment="1" applyProtection="1">
      <alignment horizontal="left" vertical="center"/>
      <protection locked="0"/>
    </xf>
    <xf numFmtId="2" fontId="0" fillId="0" borderId="10" xfId="0" applyNumberFormat="1" applyBorder="1" applyAlignment="1">
      <alignment vertical="center"/>
    </xf>
    <xf numFmtId="0" fontId="14" fillId="0" borderId="0" xfId="4" applyFont="1" applyFill="1" applyAlignment="1" applyProtection="1">
      <alignment vertical="center"/>
      <protection locked="0"/>
    </xf>
    <xf numFmtId="166" fontId="14" fillId="0" borderId="0" xfId="6" applyNumberFormat="1" applyFont="1" applyFill="1" applyAlignment="1" applyProtection="1">
      <alignment vertical="center"/>
      <protection locked="0"/>
    </xf>
    <xf numFmtId="1" fontId="0" fillId="0" borderId="0" xfId="0" applyNumberFormat="1" applyAlignment="1">
      <alignment vertical="center"/>
    </xf>
    <xf numFmtId="0" fontId="14" fillId="0" borderId="5" xfId="4" applyFont="1" applyFill="1" applyBorder="1" applyAlignment="1" applyProtection="1">
      <alignment vertical="center"/>
      <protection locked="0"/>
    </xf>
    <xf numFmtId="166" fontId="14" fillId="0" borderId="5" xfId="6" applyNumberFormat="1" applyFont="1" applyFill="1" applyBorder="1" applyAlignment="1" applyProtection="1">
      <alignment vertical="center"/>
      <protection locked="0"/>
    </xf>
    <xf numFmtId="0" fontId="14" fillId="0" borderId="11" xfId="0" applyFont="1" applyBorder="1" applyAlignment="1">
      <alignment vertical="center"/>
    </xf>
    <xf numFmtId="1" fontId="33" fillId="4" borderId="12" xfId="0" applyNumberFormat="1" applyFont="1" applyFill="1" applyBorder="1" applyAlignment="1">
      <alignment vertical="center"/>
    </xf>
    <xf numFmtId="1" fontId="33" fillId="4" borderId="13" xfId="0" applyNumberFormat="1" applyFont="1" applyFill="1" applyBorder="1" applyAlignment="1">
      <alignment vertical="center"/>
    </xf>
    <xf numFmtId="0" fontId="16" fillId="7" borderId="3" xfId="3" applyFont="1" applyFill="1" applyAlignment="1" applyProtection="1">
      <alignment horizontal="center" vertical="center" wrapText="1"/>
      <protection locked="0"/>
    </xf>
    <xf numFmtId="0" fontId="2" fillId="8" borderId="0" xfId="0" applyFont="1" applyFill="1" applyAlignment="1" applyProtection="1">
      <alignment horizontal="left" vertical="center"/>
      <protection locked="0"/>
    </xf>
    <xf numFmtId="0" fontId="31" fillId="5" borderId="0" xfId="0" applyFont="1" applyFill="1" applyAlignment="1" applyProtection="1">
      <alignment horizontal="left" vertical="center"/>
      <protection locked="0"/>
    </xf>
    <xf numFmtId="0" fontId="10" fillId="3" borderId="0" xfId="0" applyFont="1" applyFill="1" applyAlignment="1" applyProtection="1">
      <alignment horizontal="left" vertical="center" wrapText="1"/>
      <protection locked="0"/>
    </xf>
    <xf numFmtId="0" fontId="11" fillId="3" borderId="0" xfId="0" applyFont="1" applyFill="1" applyAlignment="1" applyProtection="1">
      <alignment horizontal="left" vertical="center"/>
      <protection locked="0"/>
    </xf>
    <xf numFmtId="0" fontId="7" fillId="5" borderId="0" xfId="0" applyFont="1" applyFill="1" applyAlignment="1" applyProtection="1">
      <alignment horizontal="left" vertical="center"/>
      <protection locked="0"/>
    </xf>
    <xf numFmtId="0" fontId="28" fillId="3" borderId="0" xfId="0" applyFont="1" applyFill="1" applyAlignment="1" applyProtection="1">
      <alignment horizontal="left" vertical="center"/>
      <protection locked="0"/>
    </xf>
    <xf numFmtId="0" fontId="27" fillId="3" borderId="0" xfId="0" applyFont="1" applyFill="1" applyAlignment="1" applyProtection="1">
      <alignment horizontal="left" vertical="center"/>
      <protection locked="0"/>
    </xf>
    <xf numFmtId="0" fontId="29" fillId="3" borderId="0" xfId="0" applyFont="1" applyFill="1" applyAlignment="1" applyProtection="1">
      <alignment horizontal="left" vertical="center"/>
      <protection locked="0"/>
    </xf>
    <xf numFmtId="0" fontId="28" fillId="3" borderId="0" xfId="0" applyFont="1" applyFill="1" applyAlignment="1" applyProtection="1">
      <alignment horizontal="left" vertical="center" wrapText="1"/>
      <protection locked="0"/>
    </xf>
    <xf numFmtId="167" fontId="0" fillId="0" borderId="0" xfId="1" applyNumberFormat="1" applyFont="1" applyAlignment="1">
      <alignment vertical="center"/>
    </xf>
    <xf numFmtId="1" fontId="0" fillId="0" borderId="5" xfId="0" applyNumberFormat="1" applyBorder="1" applyAlignment="1">
      <alignment vertical="center"/>
    </xf>
    <xf numFmtId="2" fontId="14" fillId="0" borderId="0" xfId="0" applyNumberFormat="1" applyFont="1" applyAlignment="1">
      <alignment vertical="center"/>
    </xf>
    <xf numFmtId="9" fontId="14" fillId="0" borderId="8" xfId="0" applyNumberFormat="1" applyFont="1" applyBorder="1" applyAlignment="1">
      <alignment vertical="center"/>
    </xf>
    <xf numFmtId="0" fontId="27" fillId="3" borderId="0" xfId="0" applyFont="1" applyFill="1" applyAlignment="1" applyProtection="1">
      <alignment vertical="center"/>
      <protection locked="0"/>
    </xf>
    <xf numFmtId="0" fontId="50" fillId="4" borderId="0" xfId="0" applyFont="1" applyFill="1" applyAlignment="1" applyProtection="1">
      <alignment vertical="center"/>
      <protection locked="0"/>
    </xf>
    <xf numFmtId="0" fontId="14" fillId="0" borderId="16" xfId="0" applyFont="1" applyBorder="1"/>
    <xf numFmtId="0" fontId="14" fillId="0" borderId="16" xfId="0" applyFont="1" applyBorder="1" applyAlignment="1" applyProtection="1">
      <alignment vertical="center"/>
      <protection locked="0"/>
    </xf>
    <xf numFmtId="0" fontId="23" fillId="2" borderId="0" xfId="0" applyFont="1" applyFill="1" applyAlignment="1" applyProtection="1">
      <alignment horizontal="left" vertical="center"/>
      <protection locked="0"/>
    </xf>
    <xf numFmtId="0" fontId="23" fillId="2" borderId="0" xfId="0" applyFont="1" applyFill="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52" fillId="2" borderId="0" xfId="0" applyFont="1" applyFill="1" applyAlignment="1">
      <alignment wrapText="1"/>
    </xf>
    <xf numFmtId="0" fontId="53" fillId="2" borderId="0" xfId="0" applyFont="1" applyFill="1" applyAlignment="1" applyProtection="1">
      <alignment horizontal="left" vertical="center" wrapText="1"/>
      <protection locked="0"/>
    </xf>
    <xf numFmtId="0" fontId="14" fillId="0" borderId="0" xfId="0" applyFont="1" applyAlignment="1" applyProtection="1">
      <alignment vertical="top"/>
      <protection locked="0"/>
    </xf>
    <xf numFmtId="0" fontId="45" fillId="0" borderId="0" xfId="0" applyFont="1" applyAlignment="1" applyProtection="1">
      <alignment horizontal="left" vertical="top"/>
      <protection locked="0"/>
    </xf>
    <xf numFmtId="0" fontId="29" fillId="0" borderId="0" xfId="0" applyFont="1" applyAlignment="1">
      <alignment vertical="top" wrapText="1"/>
    </xf>
    <xf numFmtId="0" fontId="44" fillId="0" borderId="0" xfId="4" applyFont="1" applyFill="1" applyBorder="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17" fillId="3" borderId="0" xfId="0" quotePrefix="1" applyFont="1" applyFill="1" applyAlignment="1" applyProtection="1">
      <alignment horizontal="left" vertical="center" wrapText="1"/>
      <protection locked="0"/>
    </xf>
    <xf numFmtId="0" fontId="17" fillId="3" borderId="0" xfId="0" applyFont="1" applyFill="1" applyAlignment="1" applyProtection="1">
      <alignment horizontal="left" vertical="center" wrapText="1"/>
      <protection locked="0"/>
    </xf>
    <xf numFmtId="0" fontId="17" fillId="3" borderId="4" xfId="0" applyFont="1" applyFill="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17" fillId="3" borderId="0" xfId="0" applyFont="1" applyFill="1" applyAlignment="1" applyProtection="1">
      <alignment horizontal="left" vertical="top" wrapText="1"/>
      <protection locked="0"/>
    </xf>
    <xf numFmtId="0" fontId="51" fillId="9" borderId="14" xfId="3" applyFont="1" applyFill="1" applyBorder="1" applyAlignment="1" applyProtection="1">
      <alignment horizontal="center" vertical="center"/>
      <protection locked="0"/>
    </xf>
    <xf numFmtId="0" fontId="51" fillId="9" borderId="15" xfId="3" applyFont="1" applyFill="1" applyBorder="1" applyAlignment="1" applyProtection="1">
      <alignment horizontal="center" vertical="center"/>
      <protection locked="0"/>
    </xf>
    <xf numFmtId="0" fontId="56" fillId="4" borderId="0" xfId="0" applyFont="1" applyFill="1" applyAlignment="1" applyProtection="1">
      <alignment horizontal="left" vertical="center" wrapText="1"/>
      <protection locked="0"/>
    </xf>
    <xf numFmtId="0" fontId="28" fillId="8" borderId="0" xfId="0" applyFont="1" applyFill="1" applyAlignment="1" applyProtection="1">
      <alignment horizontal="left" vertical="center" wrapText="1"/>
      <protection locked="0"/>
    </xf>
    <xf numFmtId="0" fontId="43" fillId="0" borderId="0" xfId="2" applyFont="1" applyAlignment="1" applyProtection="1">
      <alignment horizontal="left" vertical="top" wrapText="1"/>
      <protection locked="0"/>
    </xf>
    <xf numFmtId="0" fontId="33" fillId="3" borderId="0" xfId="0" applyFont="1" applyFill="1" applyAlignment="1" applyProtection="1">
      <alignment horizontal="left" vertical="center" wrapText="1"/>
      <protection locked="0"/>
    </xf>
    <xf numFmtId="0" fontId="49" fillId="0" borderId="0" xfId="4" applyFont="1" applyFill="1" applyBorder="1" applyAlignment="1" applyProtection="1">
      <alignment horizontal="center" vertical="top" wrapText="1"/>
      <protection locked="0"/>
    </xf>
    <xf numFmtId="2" fontId="54" fillId="2" borderId="10" xfId="0" applyNumberFormat="1" applyFont="1" applyFill="1" applyBorder="1" applyAlignment="1" applyProtection="1">
      <alignment horizontal="center" vertical="center" wrapText="1"/>
      <protection locked="0"/>
    </xf>
    <xf numFmtId="0" fontId="57" fillId="0" borderId="0" xfId="0" applyFont="1" applyAlignment="1">
      <alignment horizontal="left" vertical="center" wrapText="1"/>
    </xf>
  </cellXfs>
  <cellStyles count="7">
    <cellStyle name="Comma" xfId="6" builtinId="3"/>
    <cellStyle name="Hyperlink" xfId="2" builtinId="8"/>
    <cellStyle name="Hyperlink 2" xfId="4" xr:uid="{CD965EF4-3A21-427B-BBC0-1F1A7D7382B6}"/>
    <cellStyle name="Input 2" xfId="3" xr:uid="{F855FEC2-D0D6-446C-A8B4-F862DBFFFACF}"/>
    <cellStyle name="Normal" xfId="0" builtinId="0"/>
    <cellStyle name="Percent" xfId="1" builtinId="5"/>
    <cellStyle name="Percent 2" xfId="5" xr:uid="{F568A3B3-3F12-46BE-8105-C1FE9F1B80E2}"/>
  </cellStyles>
  <dxfs count="7">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s>
  <tableStyles count="0" defaultTableStyle="TableStyleMedium2" defaultPivotStyle="PivotStyleLight16"/>
  <colors>
    <mruColors>
      <color rgb="FFB8E0C2"/>
      <color rgb="FF000000"/>
      <color rgb="FF3C5E86"/>
      <color rgb="FFC0CFE2"/>
      <color rgb="FFBFD7D2"/>
      <color rgb="FFC2D8D4"/>
      <color rgb="FFFCE6BA"/>
      <color rgb="FF4C7870"/>
      <color rgb="FF375751"/>
      <color rgb="FFC2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r>
              <a:rPr lang="en-US"/>
              <a:t>Comparing NZF compliance strategies [USD/tLSFOeq] </a:t>
            </a:r>
          </a:p>
        </c:rich>
      </c:tx>
      <c:layout>
        <c:manualLayout>
          <c:xMode val="edge"/>
          <c:yMode val="edge"/>
          <c:x val="0.24848044014948201"/>
          <c:y val="1.288934024953042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6.7614063113541137E-2"/>
          <c:y val="0.11823404499942926"/>
          <c:w val="0.90412248790049565"/>
          <c:h val="0.78538791372071526"/>
        </c:manualLayout>
      </c:layout>
      <c:lineChart>
        <c:grouping val="standard"/>
        <c:varyColors val="0"/>
        <c:ser>
          <c:idx val="0"/>
          <c:order val="0"/>
          <c:tx>
            <c:strRef>
              <c:f>'CCC Summary'!$G$41</c:f>
              <c:strCache>
                <c:ptCount val="1"/>
                <c:pt idx="0">
                  <c:v>Strategy 1: LSFO + bio-diesel (base case)</c:v>
                </c:pt>
              </c:strCache>
            </c:strRef>
          </c:tx>
          <c:spPr>
            <a:ln w="38100" cap="rnd">
              <a:solidFill>
                <a:schemeClr val="tx1">
                  <a:lumMod val="65000"/>
                  <a:lumOff val="35000"/>
                </a:schemeClr>
              </a:solidFill>
              <a:round/>
            </a:ln>
            <a:effectLst/>
          </c:spPr>
          <c:marker>
            <c:symbol val="none"/>
          </c:marker>
          <c:cat>
            <c:numRef>
              <c:f>'CCC Summary'!$H$40:$T$40</c:f>
              <c:numCache>
                <c:formatCode>General</c:formatCode>
                <c:ptCount val="13"/>
                <c:pt idx="0">
                  <c:v>2028</c:v>
                </c:pt>
                <c:pt idx="1">
                  <c:v>2029</c:v>
                </c:pt>
                <c:pt idx="2">
                  <c:v>2030</c:v>
                </c:pt>
                <c:pt idx="3">
                  <c:v>2031</c:v>
                </c:pt>
                <c:pt idx="4">
                  <c:v>2032</c:v>
                </c:pt>
                <c:pt idx="5">
                  <c:v>2033</c:v>
                </c:pt>
                <c:pt idx="6">
                  <c:v>2034</c:v>
                </c:pt>
                <c:pt idx="7">
                  <c:v>2035</c:v>
                </c:pt>
                <c:pt idx="8">
                  <c:v>2036</c:v>
                </c:pt>
                <c:pt idx="9">
                  <c:v>2037</c:v>
                </c:pt>
                <c:pt idx="10">
                  <c:v>2038</c:v>
                </c:pt>
                <c:pt idx="11">
                  <c:v>2039</c:v>
                </c:pt>
                <c:pt idx="12">
                  <c:v>2040</c:v>
                </c:pt>
              </c:numCache>
            </c:numRef>
          </c:cat>
          <c:val>
            <c:numRef>
              <c:f>'CCC Summary'!$H$41:$T$41</c:f>
              <c:numCache>
                <c:formatCode>0</c:formatCode>
                <c:ptCount val="13"/>
                <c:pt idx="0">
                  <c:v>686.54734627729408</c:v>
                </c:pt>
                <c:pt idx="1">
                  <c:v>698.22540722423264</c:v>
                </c:pt>
                <c:pt idx="2">
                  <c:v>713.36505159739556</c:v>
                </c:pt>
                <c:pt idx="3">
                  <c:v>775.87163498502537</c:v>
                </c:pt>
                <c:pt idx="4">
                  <c:v>844.67767471072193</c:v>
                </c:pt>
                <c:pt idx="5">
                  <c:v>919.7831707744856</c:v>
                </c:pt>
                <c:pt idx="6">
                  <c:v>990.1306824803886</c:v>
                </c:pt>
                <c:pt idx="7">
                  <c:v>1052.8417176804046</c:v>
                </c:pt>
                <c:pt idx="8">
                  <c:v>1152.6092736803948</c:v>
                </c:pt>
                <c:pt idx="9">
                  <c:v>1252.3768296803851</c:v>
                </c:pt>
                <c:pt idx="10">
                  <c:v>1352.144385680416</c:v>
                </c:pt>
                <c:pt idx="11">
                  <c:v>1451.9119416804062</c:v>
                </c:pt>
                <c:pt idx="12">
                  <c:v>1551.6794976803965</c:v>
                </c:pt>
              </c:numCache>
            </c:numRef>
          </c:val>
          <c:smooth val="0"/>
          <c:extLst>
            <c:ext xmlns:c16="http://schemas.microsoft.com/office/drawing/2014/chart" uri="{C3380CC4-5D6E-409C-BE32-E72D297353CC}">
              <c16:uniqueId val="{00000000-5B68-4179-B4EA-EAD3A89C284E}"/>
            </c:ext>
          </c:extLst>
        </c:ser>
        <c:ser>
          <c:idx val="1"/>
          <c:order val="1"/>
          <c:tx>
            <c:strRef>
              <c:f>'CCC Summary'!$G$42</c:f>
              <c:strCache>
                <c:ptCount val="1"/>
                <c:pt idx="0">
                  <c:v>Strategy 2: LNG + bio-methane</c:v>
                </c:pt>
              </c:strCache>
            </c:strRef>
          </c:tx>
          <c:spPr>
            <a:ln w="38100" cap="rnd">
              <a:solidFill>
                <a:schemeClr val="bg1">
                  <a:lumMod val="65000"/>
                </a:schemeClr>
              </a:solidFill>
              <a:round/>
            </a:ln>
            <a:effectLst/>
          </c:spPr>
          <c:marker>
            <c:symbol val="none"/>
          </c:marker>
          <c:cat>
            <c:numRef>
              <c:f>'CCC Summary'!$H$40:$T$40</c:f>
              <c:numCache>
                <c:formatCode>General</c:formatCode>
                <c:ptCount val="13"/>
                <c:pt idx="0">
                  <c:v>2028</c:v>
                </c:pt>
                <c:pt idx="1">
                  <c:v>2029</c:v>
                </c:pt>
                <c:pt idx="2">
                  <c:v>2030</c:v>
                </c:pt>
                <c:pt idx="3">
                  <c:v>2031</c:v>
                </c:pt>
                <c:pt idx="4">
                  <c:v>2032</c:v>
                </c:pt>
                <c:pt idx="5">
                  <c:v>2033</c:v>
                </c:pt>
                <c:pt idx="6">
                  <c:v>2034</c:v>
                </c:pt>
                <c:pt idx="7">
                  <c:v>2035</c:v>
                </c:pt>
                <c:pt idx="8">
                  <c:v>2036</c:v>
                </c:pt>
                <c:pt idx="9">
                  <c:v>2037</c:v>
                </c:pt>
                <c:pt idx="10">
                  <c:v>2038</c:v>
                </c:pt>
                <c:pt idx="11">
                  <c:v>2039</c:v>
                </c:pt>
                <c:pt idx="12">
                  <c:v>2040</c:v>
                </c:pt>
              </c:numCache>
            </c:numRef>
          </c:cat>
          <c:val>
            <c:numRef>
              <c:f>'CCC Summary'!$H$42:$T$42</c:f>
              <c:numCache>
                <c:formatCode>0</c:formatCode>
                <c:ptCount val="13"/>
                <c:pt idx="0">
                  <c:v>540.33186714206431</c:v>
                </c:pt>
                <c:pt idx="1">
                  <c:v>507.37524201569801</c:v>
                </c:pt>
                <c:pt idx="2">
                  <c:v>472.59423004358536</c:v>
                </c:pt>
                <c:pt idx="3">
                  <c:v>488.88901709230475</c:v>
                </c:pt>
                <c:pt idx="4">
                  <c:v>505.18380414102398</c:v>
                </c:pt>
                <c:pt idx="5">
                  <c:v>562.54576950974342</c:v>
                </c:pt>
                <c:pt idx="6">
                  <c:v>625.04868775846273</c:v>
                </c:pt>
                <c:pt idx="7">
                  <c:v>687.55160600719796</c:v>
                </c:pt>
                <c:pt idx="8">
                  <c:v>786.32746781707328</c:v>
                </c:pt>
                <c:pt idx="9">
                  <c:v>885.10332962694815</c:v>
                </c:pt>
                <c:pt idx="10">
                  <c:v>983.87919143686372</c:v>
                </c:pt>
                <c:pt idx="11">
                  <c:v>1082.6550532467386</c:v>
                </c:pt>
                <c:pt idx="12">
                  <c:v>1181.4309150566139</c:v>
                </c:pt>
              </c:numCache>
            </c:numRef>
          </c:val>
          <c:smooth val="0"/>
          <c:extLst>
            <c:ext xmlns:c16="http://schemas.microsoft.com/office/drawing/2014/chart" uri="{C3380CC4-5D6E-409C-BE32-E72D297353CC}">
              <c16:uniqueId val="{00000001-5B68-4179-B4EA-EAD3A89C284E}"/>
            </c:ext>
          </c:extLst>
        </c:ser>
        <c:ser>
          <c:idx val="2"/>
          <c:order val="2"/>
          <c:tx>
            <c:strRef>
              <c:f>'CCC Summary'!$G$43</c:f>
              <c:strCache>
                <c:ptCount val="1"/>
                <c:pt idx="0">
                  <c:v>Strategy 3: LSFO + ZNZ</c:v>
                </c:pt>
              </c:strCache>
            </c:strRef>
          </c:tx>
          <c:spPr>
            <a:ln w="38100" cap="rnd">
              <a:solidFill>
                <a:srgbClr val="5E948A"/>
              </a:solidFill>
              <a:prstDash val="sysDash"/>
              <a:round/>
            </a:ln>
            <a:effectLst/>
          </c:spPr>
          <c:marker>
            <c:symbol val="none"/>
          </c:marker>
          <c:cat>
            <c:numRef>
              <c:f>'CCC Summary'!$H$40:$T$40</c:f>
              <c:numCache>
                <c:formatCode>General</c:formatCode>
                <c:ptCount val="13"/>
                <c:pt idx="0">
                  <c:v>2028</c:v>
                </c:pt>
                <c:pt idx="1">
                  <c:v>2029</c:v>
                </c:pt>
                <c:pt idx="2">
                  <c:v>2030</c:v>
                </c:pt>
                <c:pt idx="3">
                  <c:v>2031</c:v>
                </c:pt>
                <c:pt idx="4">
                  <c:v>2032</c:v>
                </c:pt>
                <c:pt idx="5">
                  <c:v>2033</c:v>
                </c:pt>
                <c:pt idx="6">
                  <c:v>2034</c:v>
                </c:pt>
                <c:pt idx="7">
                  <c:v>2035</c:v>
                </c:pt>
                <c:pt idx="8">
                  <c:v>2036</c:v>
                </c:pt>
                <c:pt idx="9">
                  <c:v>2037</c:v>
                </c:pt>
                <c:pt idx="10">
                  <c:v>2038</c:v>
                </c:pt>
                <c:pt idx="11">
                  <c:v>2039</c:v>
                </c:pt>
                <c:pt idx="12">
                  <c:v>2040</c:v>
                </c:pt>
              </c:numCache>
            </c:numRef>
          </c:cat>
          <c:val>
            <c:numRef>
              <c:f>'CCC Summary'!$H$43:$T$43</c:f>
              <c:numCache>
                <c:formatCode>0</c:formatCode>
                <c:ptCount val="13"/>
                <c:pt idx="0">
                  <c:v>713.8315582240765</c:v>
                </c:pt>
                <c:pt idx="1">
                  <c:v>726.55904995222909</c:v>
                </c:pt>
                <c:pt idx="2">
                  <c:v>675.82544245466579</c:v>
                </c:pt>
                <c:pt idx="3">
                  <c:v>719.79191872359092</c:v>
                </c:pt>
                <c:pt idx="4">
                  <c:v>767.71137688823706</c:v>
                </c:pt>
                <c:pt idx="5">
                  <c:v>819.11632134341721</c:v>
                </c:pt>
                <c:pt idx="6">
                  <c:v>873.54312317975143</c:v>
                </c:pt>
                <c:pt idx="7">
                  <c:v>905.92229003293903</c:v>
                </c:pt>
                <c:pt idx="8">
                  <c:v>969.10002871556514</c:v>
                </c:pt>
                <c:pt idx="9">
                  <c:v>1029.4655131824941</c:v>
                </c:pt>
                <c:pt idx="10">
                  <c:v>1086.5438609338869</c:v>
                </c:pt>
                <c:pt idx="11">
                  <c:v>1139.8624040691861</c:v>
                </c:pt>
                <c:pt idx="12">
                  <c:v>1188.9506892873685</c:v>
                </c:pt>
              </c:numCache>
            </c:numRef>
          </c:val>
          <c:smooth val="0"/>
          <c:extLst>
            <c:ext xmlns:c16="http://schemas.microsoft.com/office/drawing/2014/chart" uri="{C3380CC4-5D6E-409C-BE32-E72D297353CC}">
              <c16:uniqueId val="{00000002-5B68-4179-B4EA-EAD3A89C284E}"/>
            </c:ext>
          </c:extLst>
        </c:ser>
        <c:ser>
          <c:idx val="3"/>
          <c:order val="3"/>
          <c:tx>
            <c:strRef>
              <c:f>'CCC Summary'!$G$44</c:f>
              <c:strCache>
                <c:ptCount val="1"/>
                <c:pt idx="0">
                  <c:v>Strategy 4: 100% ZNZ</c:v>
                </c:pt>
              </c:strCache>
            </c:strRef>
          </c:tx>
          <c:spPr>
            <a:ln w="38100" cap="rnd">
              <a:solidFill>
                <a:srgbClr val="5E948A"/>
              </a:solidFill>
              <a:round/>
            </a:ln>
            <a:effectLst/>
          </c:spPr>
          <c:marker>
            <c:symbol val="none"/>
          </c:marker>
          <c:cat>
            <c:numRef>
              <c:f>'CCC Summary'!$H$40:$T$40</c:f>
              <c:numCache>
                <c:formatCode>General</c:formatCode>
                <c:ptCount val="13"/>
                <c:pt idx="0">
                  <c:v>2028</c:v>
                </c:pt>
                <c:pt idx="1">
                  <c:v>2029</c:v>
                </c:pt>
                <c:pt idx="2">
                  <c:v>2030</c:v>
                </c:pt>
                <c:pt idx="3">
                  <c:v>2031</c:v>
                </c:pt>
                <c:pt idx="4">
                  <c:v>2032</c:v>
                </c:pt>
                <c:pt idx="5">
                  <c:v>2033</c:v>
                </c:pt>
                <c:pt idx="6">
                  <c:v>2034</c:v>
                </c:pt>
                <c:pt idx="7">
                  <c:v>2035</c:v>
                </c:pt>
                <c:pt idx="8">
                  <c:v>2036</c:v>
                </c:pt>
                <c:pt idx="9">
                  <c:v>2037</c:v>
                </c:pt>
                <c:pt idx="10">
                  <c:v>2038</c:v>
                </c:pt>
                <c:pt idx="11">
                  <c:v>2039</c:v>
                </c:pt>
                <c:pt idx="12">
                  <c:v>2040</c:v>
                </c:pt>
              </c:numCache>
            </c:numRef>
          </c:cat>
          <c:val>
            <c:numRef>
              <c:f>'CCC Summary'!$H$44:$T$44</c:f>
              <c:numCache>
                <c:formatCode>0</c:formatCode>
                <c:ptCount val="13"/>
                <c:pt idx="0">
                  <c:v>1346.4606088105886</c:v>
                </c:pt>
                <c:pt idx="1">
                  <c:v>1195.795351797994</c:v>
                </c:pt>
                <c:pt idx="2">
                  <c:v>524.01538218885287</c:v>
                </c:pt>
                <c:pt idx="3">
                  <c:v>580.3771449201563</c:v>
                </c:pt>
                <c:pt idx="4">
                  <c:v>640.0971985498652</c:v>
                </c:pt>
                <c:pt idx="5">
                  <c:v>703.19358711917255</c:v>
                </c:pt>
                <c:pt idx="6">
                  <c:v>785.8346937950073</c:v>
                </c:pt>
                <c:pt idx="7">
                  <c:v>793.80166459433485</c:v>
                </c:pt>
                <c:pt idx="8">
                  <c:v>882.62380982557579</c:v>
                </c:pt>
                <c:pt idx="9">
                  <c:v>969.44987802968353</c:v>
                </c:pt>
                <c:pt idx="10">
                  <c:v>1054.286789033898</c:v>
                </c:pt>
                <c:pt idx="11">
                  <c:v>1137.1414626652411</c:v>
                </c:pt>
                <c:pt idx="12">
                  <c:v>1218.0208187509277</c:v>
                </c:pt>
              </c:numCache>
            </c:numRef>
          </c:val>
          <c:smooth val="0"/>
          <c:extLst>
            <c:ext xmlns:c16="http://schemas.microsoft.com/office/drawing/2014/chart" uri="{C3380CC4-5D6E-409C-BE32-E72D297353CC}">
              <c16:uniqueId val="{00000003-5B68-4179-B4EA-EAD3A89C284E}"/>
            </c:ext>
          </c:extLst>
        </c:ser>
        <c:dLbls>
          <c:showLegendKey val="0"/>
          <c:showVal val="0"/>
          <c:showCatName val="0"/>
          <c:showSerName val="0"/>
          <c:showPercent val="0"/>
          <c:showBubbleSize val="0"/>
        </c:dLbls>
        <c:smooth val="0"/>
        <c:axId val="1013354928"/>
        <c:axId val="1013351568"/>
      </c:lineChart>
      <c:catAx>
        <c:axId val="101335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3351568"/>
        <c:crosses val="autoZero"/>
        <c:auto val="1"/>
        <c:lblAlgn val="ctr"/>
        <c:lblOffset val="100"/>
        <c:tickLblSkip val="2"/>
        <c:tickMarkSkip val="1"/>
        <c:noMultiLvlLbl val="0"/>
      </c:catAx>
      <c:valAx>
        <c:axId val="101335156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3354928"/>
        <c:crosses val="autoZero"/>
        <c:crossBetween val="between"/>
      </c:valAx>
      <c:spPr>
        <a:noFill/>
        <a:ln>
          <a:noFill/>
        </a:ln>
        <a:effectLst/>
      </c:spPr>
    </c:plotArea>
    <c:legend>
      <c:legendPos val="b"/>
      <c:layout>
        <c:manualLayout>
          <c:xMode val="edge"/>
          <c:yMode val="edge"/>
          <c:x val="0.13069249925644558"/>
          <c:y val="9.9915089109581301E-2"/>
          <c:w val="0.29805437724158595"/>
          <c:h val="0.178445597266222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Summary'!$G$46</c:f>
          <c:strCache>
            <c:ptCount val="1"/>
            <c:pt idx="0">
              <c:v>2035 - Strategy 1: LSFO + bio-diesel (base case)</c:v>
            </c:pt>
          </c:strCache>
        </c:strRef>
      </c:tx>
      <c:layout>
        <c:manualLayout>
          <c:xMode val="edge"/>
          <c:yMode val="edge"/>
          <c:x val="9.7792882217229593E-2"/>
          <c:y val="6.17594904037603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1.2585785727691257E-2"/>
          <c:y val="0.21001316461504427"/>
          <c:w val="0.9691768086000887"/>
          <c:h val="0.59467352065757861"/>
        </c:manualLayout>
      </c:layout>
      <c:barChart>
        <c:barDir val="col"/>
        <c:grouping val="stacked"/>
        <c:varyColors val="0"/>
        <c:ser>
          <c:idx val="1"/>
          <c:order val="0"/>
          <c:tx>
            <c:strRef>
              <c:f>'CCC Summary'!$G$47</c:f>
              <c:strCache>
                <c:ptCount val="1"/>
                <c:pt idx="0">
                  <c:v>LSFO fuel</c:v>
                </c:pt>
              </c:strCache>
            </c:strRef>
          </c:tx>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Summary'!$H$47</c:f>
              <c:numCache>
                <c:formatCode>0</c:formatCode>
                <c:ptCount val="1"/>
                <c:pt idx="0">
                  <c:v>540.94368932038833</c:v>
                </c:pt>
              </c:numCache>
            </c:numRef>
          </c:val>
          <c:extLst>
            <c:ext xmlns:c16="http://schemas.microsoft.com/office/drawing/2014/chart" uri="{C3380CC4-5D6E-409C-BE32-E72D297353CC}">
              <c16:uniqueId val="{00000000-9734-4394-993F-6F1AC21F52B6}"/>
            </c:ext>
          </c:extLst>
        </c:ser>
        <c:ser>
          <c:idx val="2"/>
          <c:order val="1"/>
          <c:tx>
            <c:strRef>
              <c:f>'CCC Summary'!$G$48</c:f>
              <c:strCache>
                <c:ptCount val="1"/>
                <c:pt idx="0">
                  <c:v>Tier 2 (Bio-diesel or RU2)</c:v>
                </c:pt>
              </c:strCache>
            </c:strRef>
          </c:tx>
          <c:spPr>
            <a:solidFill>
              <a:srgbClr val="FAC8C2"/>
            </a:solidFill>
            <a:ln>
              <a:noFill/>
            </a:ln>
            <a:effectLst/>
          </c:spPr>
          <c:invertIfNegative val="0"/>
          <c:dLbls>
            <c:spPr>
              <a:solidFill>
                <a:srgbClr val="FAC8C2"/>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Summary'!$H$48</c:f>
              <c:numCache>
                <c:formatCode>0</c:formatCode>
                <c:ptCount val="1"/>
                <c:pt idx="0">
                  <c:v>463.13944836001639</c:v>
                </c:pt>
              </c:numCache>
            </c:numRef>
          </c:val>
          <c:extLst>
            <c:ext xmlns:c16="http://schemas.microsoft.com/office/drawing/2014/chart" uri="{C3380CC4-5D6E-409C-BE32-E72D297353CC}">
              <c16:uniqueId val="{00000001-9734-4394-993F-6F1AC21F52B6}"/>
            </c:ext>
          </c:extLst>
        </c:ser>
        <c:ser>
          <c:idx val="4"/>
          <c:order val="2"/>
          <c:tx>
            <c:strRef>
              <c:f>'CCC Summary'!$G$49</c:f>
              <c:strCache>
                <c:ptCount val="1"/>
                <c:pt idx="0">
                  <c:v>Tier 1 (RU1)</c:v>
                </c:pt>
              </c:strCache>
            </c:strRef>
          </c:tx>
          <c:spPr>
            <a:solidFill>
              <a:schemeClr val="accent4">
                <a:lumMod val="60000"/>
                <a:lumOff val="40000"/>
              </a:schemeClr>
            </a:solidFill>
            <a:ln>
              <a:noFill/>
            </a:ln>
            <a:effectLst/>
          </c:spPr>
          <c:invertIfNegative val="0"/>
          <c:dLbls>
            <c:dLbl>
              <c:idx val="0"/>
              <c:layout>
                <c:manualLayout>
                  <c:x val="0.10691183264906129"/>
                  <c:y val="-2.1679280480044138E-3"/>
                </c:manualLayout>
              </c:layout>
              <c:spPr>
                <a:solidFill>
                  <a:schemeClr val="accent4">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34-4394-993F-6F1AC21F52B6}"/>
                </c:ext>
              </c:extLst>
            </c:dLbl>
            <c:spPr>
              <a:solidFill>
                <a:schemeClr val="accent4">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Summary'!$H$49</c:f>
              <c:numCache>
                <c:formatCode>0</c:formatCode>
                <c:ptCount val="1"/>
                <c:pt idx="0">
                  <c:v>48.758579999999988</c:v>
                </c:pt>
              </c:numCache>
            </c:numRef>
          </c:val>
          <c:extLst>
            <c:ext xmlns:c16="http://schemas.microsoft.com/office/drawing/2014/chart" uri="{C3380CC4-5D6E-409C-BE32-E72D297353CC}">
              <c16:uniqueId val="{00000003-9734-4394-993F-6F1AC21F52B6}"/>
            </c:ext>
          </c:extLst>
        </c:ser>
        <c:dLbls>
          <c:showLegendKey val="0"/>
          <c:showVal val="0"/>
          <c:showCatName val="0"/>
          <c:showSerName val="0"/>
          <c:showPercent val="0"/>
          <c:showBubbleSize val="0"/>
        </c:dLbls>
        <c:gapWidth val="150"/>
        <c:overlap val="100"/>
        <c:axId val="1015691248"/>
        <c:axId val="1015691728"/>
      </c:barChart>
      <c:lineChart>
        <c:grouping val="standard"/>
        <c:varyColors val="0"/>
        <c:ser>
          <c:idx val="0"/>
          <c:order val="3"/>
          <c:tx>
            <c:strRef>
              <c:f>'CCC Summary'!$G$50</c:f>
              <c:strCache>
                <c:ptCount val="1"/>
                <c:pt idx="0">
                  <c:v>Total S1</c:v>
                </c:pt>
              </c:strCache>
            </c:strRef>
          </c:tx>
          <c:spPr>
            <a:ln w="28575" cap="rnd">
              <a:solidFill>
                <a:schemeClr val="accent1"/>
              </a:solidFill>
              <a:round/>
            </a:ln>
            <a:effectLst/>
          </c:spPr>
          <c:marker>
            <c:symbol val="none"/>
          </c:marker>
          <c:val>
            <c:numRef>
              <c:f>'CCC Summary'!$H$50</c:f>
              <c:numCache>
                <c:formatCode>0</c:formatCode>
                <c:ptCount val="1"/>
                <c:pt idx="0">
                  <c:v>1052.8417176804046</c:v>
                </c:pt>
              </c:numCache>
            </c:numRef>
          </c:val>
          <c:smooth val="0"/>
          <c:extLst>
            <c:ext xmlns:c16="http://schemas.microsoft.com/office/drawing/2014/chart" uri="{C3380CC4-5D6E-409C-BE32-E72D297353CC}">
              <c16:uniqueId val="{00000006-9734-4394-993F-6F1AC21F52B6}"/>
            </c:ext>
          </c:extLst>
        </c:ser>
        <c:dLbls>
          <c:showLegendKey val="0"/>
          <c:showVal val="0"/>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min val="-1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b"/>
      <c:legendEntry>
        <c:idx val="3"/>
        <c:delete val="1"/>
      </c:legendEntry>
      <c:layout>
        <c:manualLayout>
          <c:xMode val="edge"/>
          <c:yMode val="edge"/>
          <c:x val="3.5978629518064839E-2"/>
          <c:y val="0.8329009904997865"/>
          <c:w val="0.93074549586242794"/>
          <c:h val="0.162428332158440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Summary'!$J$46</c:f>
          <c:strCache>
            <c:ptCount val="1"/>
            <c:pt idx="0">
              <c:v>2035 - Strategy 2: LNG + bio-methane</c:v>
            </c:pt>
          </c:strCache>
        </c:strRef>
      </c:tx>
      <c:layout>
        <c:manualLayout>
          <c:xMode val="edge"/>
          <c:yMode val="edge"/>
          <c:x val="0.12202780927122814"/>
          <c:y val="6.529944218046154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0"/>
          <c:y val="0.21441288099273259"/>
          <c:w val="0.98804358566667572"/>
          <c:h val="0.59063348353817546"/>
        </c:manualLayout>
      </c:layout>
      <c:barChart>
        <c:barDir val="col"/>
        <c:grouping val="stacked"/>
        <c:varyColors val="0"/>
        <c:ser>
          <c:idx val="3"/>
          <c:order val="0"/>
          <c:tx>
            <c:strRef>
              <c:f>'CCC Summary'!$J$50</c:f>
              <c:strCache>
                <c:ptCount val="1"/>
                <c:pt idx="0">
                  <c:v>GFI Surplus</c:v>
                </c:pt>
              </c:strCache>
            </c:strRef>
          </c:tx>
          <c:spPr>
            <a:pattFill prst="dkDnDiag">
              <a:fgClr>
                <a:schemeClr val="bg1">
                  <a:lumMod val="65000"/>
                </a:schemeClr>
              </a:fgClr>
              <a:bgClr>
                <a:schemeClr val="bg1"/>
              </a:bgClr>
            </a:pattFill>
            <a:ln>
              <a:noFill/>
            </a:ln>
            <a:effectLst/>
          </c:spPr>
          <c:invertIfNegative val="0"/>
          <c:dLbls>
            <c:dLbl>
              <c:idx val="0"/>
              <c:numFmt formatCode="\-\ #,##0" sourceLinked="0"/>
              <c:spPr>
                <a:pattFill prst="dkDnDiag">
                  <a:fgClr>
                    <a:schemeClr val="bg1">
                      <a:lumMod val="85000"/>
                    </a:schemeClr>
                  </a:fgClr>
                  <a:bgClr>
                    <a:schemeClr val="bg1"/>
                  </a:bgClr>
                </a:patt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AC2D-4911-A4F5-4BEF7AFF1EF0}"/>
                </c:ext>
              </c:extLst>
            </c:dLbl>
            <c:numFmt formatCode="\-\ #,##0" sourceLinked="0"/>
            <c:spPr>
              <a:solidFill>
                <a:schemeClr val="bg1">
                  <a:lumMod val="9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Summary'!$K$50</c:f>
              <c:numCache>
                <c:formatCode>0</c:formatCode>
                <c:ptCount val="1"/>
                <c:pt idx="0">
                  <c:v>0</c:v>
                </c:pt>
              </c:numCache>
            </c:numRef>
          </c:val>
          <c:extLst>
            <c:ext xmlns:c16="http://schemas.microsoft.com/office/drawing/2014/chart" uri="{C3380CC4-5D6E-409C-BE32-E72D297353CC}">
              <c16:uniqueId val="{00000001-AC2D-4911-A4F5-4BEF7AFF1EF0}"/>
            </c:ext>
          </c:extLst>
        </c:ser>
        <c:ser>
          <c:idx val="1"/>
          <c:order val="1"/>
          <c:tx>
            <c:strRef>
              <c:f>'CCC Summary'!$J$47</c:f>
              <c:strCache>
                <c:ptCount val="1"/>
                <c:pt idx="0">
                  <c:v>LNG fuel</c:v>
                </c:pt>
              </c:strCache>
            </c:strRef>
          </c:tx>
          <c:spPr>
            <a:solidFill>
              <a:schemeClr val="tx1">
                <a:lumMod val="50000"/>
                <a:lumOff val="50000"/>
              </a:schemeClr>
            </a:solidFill>
            <a:ln>
              <a:noFill/>
            </a:ln>
            <a:effectLst/>
          </c:spPr>
          <c:invertIfNegative val="0"/>
          <c:dPt>
            <c:idx val="0"/>
            <c:invertIfNegative val="0"/>
            <c:bubble3D val="0"/>
            <c:spPr>
              <a:solidFill>
                <a:schemeClr val="bg1">
                  <a:lumMod val="65000"/>
                </a:schemeClr>
              </a:solidFill>
              <a:ln>
                <a:noFill/>
              </a:ln>
              <a:effectLst/>
            </c:spPr>
            <c:extLst>
              <c:ext xmlns:c16="http://schemas.microsoft.com/office/drawing/2014/chart" uri="{C3380CC4-5D6E-409C-BE32-E72D297353CC}">
                <c16:uniqueId val="{00000003-AC2D-4911-A4F5-4BEF7AFF1EF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Summary'!$K$47</c:f>
              <c:numCache>
                <c:formatCode>0</c:formatCode>
                <c:ptCount val="1"/>
                <c:pt idx="0">
                  <c:v>457.63692788718186</c:v>
                </c:pt>
              </c:numCache>
            </c:numRef>
          </c:val>
          <c:extLst>
            <c:ext xmlns:c16="http://schemas.microsoft.com/office/drawing/2014/chart" uri="{C3380CC4-5D6E-409C-BE32-E72D297353CC}">
              <c16:uniqueId val="{00000004-AC2D-4911-A4F5-4BEF7AFF1EF0}"/>
            </c:ext>
          </c:extLst>
        </c:ser>
        <c:ser>
          <c:idx val="2"/>
          <c:order val="2"/>
          <c:tx>
            <c:strRef>
              <c:f>'CCC Summary'!$J$48</c:f>
              <c:strCache>
                <c:ptCount val="1"/>
                <c:pt idx="0">
                  <c:v>Tier 2 (Bio-methane or RU2)</c:v>
                </c:pt>
              </c:strCache>
            </c:strRef>
          </c:tx>
          <c:spPr>
            <a:solidFill>
              <a:srgbClr val="C28080"/>
            </a:solidFill>
            <a:ln>
              <a:noFill/>
            </a:ln>
            <a:effectLst/>
          </c:spPr>
          <c:invertIfNegative val="0"/>
          <c:dLbls>
            <c:spPr>
              <a:solidFill>
                <a:srgbClr val="C2808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Summary'!$K$48</c:f>
              <c:numCache>
                <c:formatCode>0</c:formatCode>
                <c:ptCount val="1"/>
                <c:pt idx="0">
                  <c:v>181.15609812001622</c:v>
                </c:pt>
              </c:numCache>
            </c:numRef>
          </c:val>
          <c:extLst>
            <c:ext xmlns:c16="http://schemas.microsoft.com/office/drawing/2014/chart" uri="{C3380CC4-5D6E-409C-BE32-E72D297353CC}">
              <c16:uniqueId val="{00000005-AC2D-4911-A4F5-4BEF7AFF1EF0}"/>
            </c:ext>
          </c:extLst>
        </c:ser>
        <c:ser>
          <c:idx val="5"/>
          <c:order val="3"/>
          <c:tx>
            <c:strRef>
              <c:f>'CCC Summary'!$J$49</c:f>
              <c:strCache>
                <c:ptCount val="1"/>
                <c:pt idx="0">
                  <c:v>Tier 1 (RU1)</c:v>
                </c:pt>
              </c:strCache>
            </c:strRef>
          </c:tx>
          <c:spPr>
            <a:solidFill>
              <a:schemeClr val="accent4">
                <a:lumMod val="60000"/>
                <a:lumOff val="40000"/>
              </a:schemeClr>
            </a:solidFill>
            <a:ln>
              <a:noFill/>
            </a:ln>
            <a:effectLst/>
          </c:spPr>
          <c:invertIfNegative val="0"/>
          <c:dLbls>
            <c:dLbl>
              <c:idx val="0"/>
              <c:layout>
                <c:manualLayout>
                  <c:x val="0.11175304337305003"/>
                  <c:y val="-4.3030892792765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FD-4DC5-94E0-9B115DBAD62B}"/>
                </c:ext>
              </c:extLst>
            </c:dLbl>
            <c:spPr>
              <a:solidFill>
                <a:schemeClr val="accent4">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Summary'!$K$49</c:f>
              <c:numCache>
                <c:formatCode>0</c:formatCode>
                <c:ptCount val="1"/>
                <c:pt idx="0">
                  <c:v>48.758579999999988</c:v>
                </c:pt>
              </c:numCache>
            </c:numRef>
          </c:val>
          <c:extLst>
            <c:ext xmlns:c16="http://schemas.microsoft.com/office/drawing/2014/chart" uri="{C3380CC4-5D6E-409C-BE32-E72D297353CC}">
              <c16:uniqueId val="{00000006-AC2D-4911-A4F5-4BEF7AFF1EF0}"/>
            </c:ext>
          </c:extLst>
        </c:ser>
        <c:dLbls>
          <c:showLegendKey val="0"/>
          <c:showVal val="0"/>
          <c:showCatName val="0"/>
          <c:showSerName val="0"/>
          <c:showPercent val="0"/>
          <c:showBubbleSize val="0"/>
        </c:dLbls>
        <c:gapWidth val="150"/>
        <c:overlap val="100"/>
        <c:axId val="1015691248"/>
        <c:axId val="1015691728"/>
      </c:barChart>
      <c:lineChart>
        <c:grouping val="standard"/>
        <c:varyColors val="0"/>
        <c:ser>
          <c:idx val="4"/>
          <c:order val="4"/>
          <c:tx>
            <c:strRef>
              <c:f>'CCC Summary'!$J$51</c:f>
              <c:strCache>
                <c:ptCount val="1"/>
                <c:pt idx="0">
                  <c:v>Total S2</c:v>
                </c:pt>
              </c:strCache>
            </c:strRef>
          </c:tx>
          <c:spPr>
            <a:ln w="28575" cap="rnd">
              <a:solidFill>
                <a:schemeClr val="accent5"/>
              </a:solidFill>
              <a:round/>
            </a:ln>
            <a:effectLst/>
          </c:spPr>
          <c:marker>
            <c:symbol val="none"/>
          </c:marker>
          <c:dLbls>
            <c:delete val="1"/>
          </c:dLbls>
          <c:val>
            <c:numRef>
              <c:f>'CCC Summary'!$K$51</c:f>
              <c:numCache>
                <c:formatCode>0</c:formatCode>
                <c:ptCount val="1"/>
                <c:pt idx="0">
                  <c:v>687.55160600719796</c:v>
                </c:pt>
              </c:numCache>
            </c:numRef>
          </c:val>
          <c:smooth val="0"/>
          <c:extLst>
            <c:ext xmlns:c16="http://schemas.microsoft.com/office/drawing/2014/chart" uri="{C3380CC4-5D6E-409C-BE32-E72D297353CC}">
              <c16:uniqueId val="{00000008-AC2D-4911-A4F5-4BEF7AFF1EF0}"/>
            </c:ext>
          </c:extLst>
        </c:ser>
        <c:dLbls>
          <c:showLegendKey val="0"/>
          <c:showVal val="1"/>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min val="-1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r"/>
      <c:legendEntry>
        <c:idx val="4"/>
        <c:delete val="1"/>
      </c:legendEntry>
      <c:layout>
        <c:manualLayout>
          <c:xMode val="edge"/>
          <c:yMode val="edge"/>
          <c:x val="4.4888770091789125E-3"/>
          <c:y val="0.81454502580543908"/>
          <c:w val="0.99551112299082112"/>
          <c:h val="0.183035952378412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Summary'!$M$46</c:f>
          <c:strCache>
            <c:ptCount val="1"/>
            <c:pt idx="0">
              <c:v>2035 - Strategy 3: LSFO + ZNZ</c:v>
            </c:pt>
          </c:strCache>
        </c:strRef>
      </c:tx>
      <c:layout>
        <c:manualLayout>
          <c:xMode val="edge"/>
          <c:yMode val="edge"/>
          <c:x val="0.12297426550432018"/>
          <c:y val="6.096303311784472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6.3793610090441258E-3"/>
          <c:y val="0.21480632052051024"/>
          <c:w val="0.98804358566667572"/>
          <c:h val="0.59109023766367952"/>
        </c:manualLayout>
      </c:layout>
      <c:barChart>
        <c:barDir val="col"/>
        <c:grouping val="stacked"/>
        <c:varyColors val="0"/>
        <c:ser>
          <c:idx val="3"/>
          <c:order val="0"/>
          <c:tx>
            <c:strRef>
              <c:f>'CCC Summary'!$M$50</c:f>
              <c:strCache>
                <c:ptCount val="1"/>
                <c:pt idx="0">
                  <c:v>ZNZ Reward</c:v>
                </c:pt>
              </c:strCache>
            </c:strRef>
          </c:tx>
          <c:spPr>
            <a:solidFill>
              <a:srgbClr val="A3C5BF"/>
            </a:solidFill>
            <a:ln>
              <a:noFill/>
            </a:ln>
            <a:effectLst/>
          </c:spPr>
          <c:invertIfNegative val="0"/>
          <c:dPt>
            <c:idx val="0"/>
            <c:invertIfNegative val="0"/>
            <c:bubble3D val="0"/>
            <c:spPr>
              <a:pattFill prst="dkUpDiag">
                <a:fgClr>
                  <a:srgbClr val="A3C5BF"/>
                </a:fgClr>
                <a:bgClr>
                  <a:schemeClr val="bg1"/>
                </a:bgClr>
              </a:pattFill>
              <a:ln>
                <a:noFill/>
              </a:ln>
              <a:effectLst/>
            </c:spPr>
            <c:extLst>
              <c:ext xmlns:c16="http://schemas.microsoft.com/office/drawing/2014/chart" uri="{C3380CC4-5D6E-409C-BE32-E72D297353CC}">
                <c16:uniqueId val="{00000001-009D-4ED4-B0F3-86CEE7A2EB77}"/>
              </c:ext>
            </c:extLst>
          </c:dPt>
          <c:dLbls>
            <c:dLbl>
              <c:idx val="0"/>
              <c:layout>
                <c:manualLayout>
                  <c:x val="0"/>
                  <c:y val="-1.2110028476684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9D-4ED4-B0F3-86CEE7A2EB77}"/>
                </c:ext>
              </c:extLst>
            </c:dLbl>
            <c:numFmt formatCode="\-\ #,##0" sourceLinked="0"/>
            <c:spPr>
              <a:solidFill>
                <a:srgbClr val="A3C5B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Summary'!$N$50</c:f>
              <c:numCache>
                <c:formatCode>0</c:formatCode>
                <c:ptCount val="1"/>
                <c:pt idx="0">
                  <c:v>3.9649999999999999</c:v>
                </c:pt>
              </c:numCache>
            </c:numRef>
          </c:val>
          <c:extLst>
            <c:ext xmlns:c16="http://schemas.microsoft.com/office/drawing/2014/chart" uri="{C3380CC4-5D6E-409C-BE32-E72D297353CC}">
              <c16:uniqueId val="{00000002-009D-4ED4-B0F3-86CEE7A2EB77}"/>
            </c:ext>
          </c:extLst>
        </c:ser>
        <c:ser>
          <c:idx val="1"/>
          <c:order val="1"/>
          <c:tx>
            <c:strRef>
              <c:f>'CCC Summary'!$M$47</c:f>
              <c:strCache>
                <c:ptCount val="1"/>
                <c:pt idx="0">
                  <c:v>LSFO fuel</c:v>
                </c:pt>
              </c:strCache>
            </c:strRef>
          </c:tx>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Summary'!$N$47</c:f>
              <c:numCache>
                <c:formatCode>0</c:formatCode>
                <c:ptCount val="1"/>
                <c:pt idx="0">
                  <c:v>540.94368932038833</c:v>
                </c:pt>
              </c:numCache>
            </c:numRef>
          </c:val>
          <c:extLst>
            <c:ext xmlns:c16="http://schemas.microsoft.com/office/drawing/2014/chart" uri="{C3380CC4-5D6E-409C-BE32-E72D297353CC}">
              <c16:uniqueId val="{00000003-009D-4ED4-B0F3-86CEE7A2EB77}"/>
            </c:ext>
          </c:extLst>
        </c:ser>
        <c:ser>
          <c:idx val="2"/>
          <c:order val="2"/>
          <c:tx>
            <c:strRef>
              <c:f>'CCC Summary'!$M$48</c:f>
              <c:strCache>
                <c:ptCount val="1"/>
                <c:pt idx="0">
                  <c:v>Tier 2 (ZNZ or RU2)</c:v>
                </c:pt>
              </c:strCache>
            </c:strRef>
          </c:tx>
          <c:spPr>
            <a:solidFill>
              <a:srgbClr val="5E948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Summary'!$N$48</c:f>
              <c:numCache>
                <c:formatCode>0</c:formatCode>
                <c:ptCount val="1"/>
                <c:pt idx="0">
                  <c:v>375.4213731293857</c:v>
                </c:pt>
              </c:numCache>
            </c:numRef>
          </c:val>
          <c:extLst>
            <c:ext xmlns:c16="http://schemas.microsoft.com/office/drawing/2014/chart" uri="{C3380CC4-5D6E-409C-BE32-E72D297353CC}">
              <c16:uniqueId val="{00000004-009D-4ED4-B0F3-86CEE7A2EB77}"/>
            </c:ext>
          </c:extLst>
        </c:ser>
        <c:ser>
          <c:idx val="5"/>
          <c:order val="3"/>
          <c:tx>
            <c:strRef>
              <c:f>'CCC Summary'!$M$49</c:f>
              <c:strCache>
                <c:ptCount val="1"/>
                <c:pt idx="0">
                  <c:v>Tier 1 (RU1)</c:v>
                </c:pt>
              </c:strCache>
            </c:strRef>
          </c:tx>
          <c:spPr>
            <a:solidFill>
              <a:schemeClr val="accent4">
                <a:lumMod val="60000"/>
                <a:lumOff val="40000"/>
              </a:schemeClr>
            </a:solidFill>
            <a:ln>
              <a:noFill/>
            </a:ln>
            <a:effectLst/>
          </c:spPr>
          <c:invertIfNegative val="0"/>
          <c:dLbls>
            <c:dLbl>
              <c:idx val="0"/>
              <c:layout>
                <c:manualLayout>
                  <c:x val="8.917720734904451E-2"/>
                  <c:y val="-4.32897407915989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9D-4ED4-B0F3-86CEE7A2EB77}"/>
                </c:ext>
              </c:extLst>
            </c:dLbl>
            <c:spPr>
              <a:solidFill>
                <a:schemeClr val="accent4">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Summary'!$N$49</c:f>
              <c:numCache>
                <c:formatCode>0</c:formatCode>
                <c:ptCount val="1"/>
                <c:pt idx="0">
                  <c:v>48.758579999999988</c:v>
                </c:pt>
              </c:numCache>
            </c:numRef>
          </c:val>
          <c:extLst>
            <c:ext xmlns:c16="http://schemas.microsoft.com/office/drawing/2014/chart" uri="{C3380CC4-5D6E-409C-BE32-E72D297353CC}">
              <c16:uniqueId val="{00000006-009D-4ED4-B0F3-86CEE7A2EB77}"/>
            </c:ext>
          </c:extLst>
        </c:ser>
        <c:dLbls>
          <c:showLegendKey val="0"/>
          <c:showVal val="0"/>
          <c:showCatName val="0"/>
          <c:showSerName val="0"/>
          <c:showPercent val="0"/>
          <c:showBubbleSize val="0"/>
        </c:dLbls>
        <c:gapWidth val="150"/>
        <c:overlap val="100"/>
        <c:axId val="1015691248"/>
        <c:axId val="1015691728"/>
      </c:barChart>
      <c:lineChart>
        <c:grouping val="standard"/>
        <c:varyColors val="0"/>
        <c:ser>
          <c:idx val="4"/>
          <c:order val="4"/>
          <c:tx>
            <c:strRef>
              <c:f>'CCC Summary'!$M$51</c:f>
              <c:strCache>
                <c:ptCount val="1"/>
                <c:pt idx="0">
                  <c:v>Total S3</c:v>
                </c:pt>
              </c:strCache>
            </c:strRef>
          </c:tx>
          <c:spPr>
            <a:ln w="28575" cap="rnd">
              <a:solidFill>
                <a:schemeClr val="accent5"/>
              </a:solidFill>
              <a:round/>
            </a:ln>
            <a:effectLst/>
          </c:spPr>
          <c:marker>
            <c:symbol val="none"/>
          </c:marker>
          <c:dLbls>
            <c:delete val="1"/>
          </c:dLbls>
          <c:val>
            <c:numRef>
              <c:f>'CCC Summary'!$N$51</c:f>
              <c:numCache>
                <c:formatCode>0</c:formatCode>
                <c:ptCount val="1"/>
                <c:pt idx="0">
                  <c:v>905.92229003293903</c:v>
                </c:pt>
              </c:numCache>
            </c:numRef>
          </c:val>
          <c:smooth val="0"/>
          <c:extLst>
            <c:ext xmlns:c16="http://schemas.microsoft.com/office/drawing/2014/chart" uri="{C3380CC4-5D6E-409C-BE32-E72D297353CC}">
              <c16:uniqueId val="{00000009-009D-4ED4-B0F3-86CEE7A2EB77}"/>
            </c:ext>
          </c:extLst>
        </c:ser>
        <c:dLbls>
          <c:showLegendKey val="0"/>
          <c:showVal val="1"/>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min val="-1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r"/>
      <c:legendEntry>
        <c:idx val="4"/>
        <c:delete val="1"/>
      </c:legendEntry>
      <c:layout>
        <c:manualLayout>
          <c:xMode val="edge"/>
          <c:yMode val="edge"/>
          <c:x val="2.5486731346773067E-2"/>
          <c:y val="0.82920374349420989"/>
          <c:w val="0.89807255070552805"/>
          <c:h val="0.170796256505790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Summary'!$P$46</c:f>
          <c:strCache>
            <c:ptCount val="1"/>
            <c:pt idx="0">
              <c:v>2035 - Strategy 4: 100% ZNZ</c:v>
            </c:pt>
          </c:strCache>
        </c:strRef>
      </c:tx>
      <c:layout>
        <c:manualLayout>
          <c:xMode val="edge"/>
          <c:yMode val="edge"/>
          <c:x val="0.10737157637195421"/>
          <c:y val="6.842726406427766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1.2802736976220594E-2"/>
          <c:y val="0.21674797551822098"/>
          <c:w val="0.96147227930445311"/>
          <c:h val="0.59055167139169773"/>
        </c:manualLayout>
      </c:layout>
      <c:barChart>
        <c:barDir val="col"/>
        <c:grouping val="stacked"/>
        <c:varyColors val="0"/>
        <c:ser>
          <c:idx val="2"/>
          <c:order val="0"/>
          <c:tx>
            <c:strRef>
              <c:f>'CCC Summary'!$P$48</c:f>
              <c:strCache>
                <c:ptCount val="1"/>
                <c:pt idx="0">
                  <c:v>ZNZ fuel (after rewards and surplus)</c:v>
                </c:pt>
              </c:strCache>
            </c:strRef>
          </c:tx>
          <c:spPr>
            <a:solidFill>
              <a:srgbClr val="5E948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Summary'!$Q$48</c:f>
              <c:numCache>
                <c:formatCode>0</c:formatCode>
                <c:ptCount val="1"/>
                <c:pt idx="0">
                  <c:v>793.80166459433485</c:v>
                </c:pt>
              </c:numCache>
            </c:numRef>
          </c:val>
          <c:extLst>
            <c:ext xmlns:c16="http://schemas.microsoft.com/office/drawing/2014/chart" uri="{C3380CC4-5D6E-409C-BE32-E72D297353CC}">
              <c16:uniqueId val="{00000000-EFA2-42F9-BEC9-DBD0089BFF9A}"/>
            </c:ext>
          </c:extLst>
        </c:ser>
        <c:ser>
          <c:idx val="3"/>
          <c:order val="1"/>
          <c:tx>
            <c:strRef>
              <c:f>'CCC Summary'!$P$49</c:f>
              <c:strCache>
                <c:ptCount val="1"/>
                <c:pt idx="0">
                  <c:v>Tier 2 RU2</c:v>
                </c:pt>
              </c:strCache>
            </c:strRef>
          </c:tx>
          <c:spPr>
            <a:solidFill>
              <a:srgbClr val="B15B5B"/>
            </a:solidFill>
            <a:ln>
              <a:noFill/>
            </a:ln>
            <a:effectLst/>
          </c:spPr>
          <c:invertIfNegative val="0"/>
          <c:val>
            <c:numRef>
              <c:f>'CCC Summary'!$Q$49</c:f>
              <c:numCache>
                <c:formatCode>0</c:formatCode>
                <c:ptCount val="1"/>
                <c:pt idx="0">
                  <c:v>0</c:v>
                </c:pt>
              </c:numCache>
            </c:numRef>
          </c:val>
          <c:extLst>
            <c:ext xmlns:c16="http://schemas.microsoft.com/office/drawing/2014/chart" uri="{C3380CC4-5D6E-409C-BE32-E72D297353CC}">
              <c16:uniqueId val="{00000001-EFA2-42F9-BEC9-DBD0089BFF9A}"/>
            </c:ext>
          </c:extLst>
        </c:ser>
        <c:ser>
          <c:idx val="6"/>
          <c:order val="3"/>
          <c:tx>
            <c:strRef>
              <c:f>'CCC Summary'!$P$50</c:f>
              <c:strCache>
                <c:ptCount val="1"/>
                <c:pt idx="0">
                  <c:v>Tier 1 RU1</c:v>
                </c:pt>
              </c:strCache>
            </c:strRef>
          </c:tx>
          <c:spPr>
            <a:solidFill>
              <a:schemeClr val="accent4">
                <a:lumMod val="60000"/>
                <a:lumOff val="40000"/>
              </a:schemeClr>
            </a:solidFill>
            <a:ln>
              <a:noFill/>
            </a:ln>
            <a:effectLst/>
          </c:spPr>
          <c:invertIfNegative val="0"/>
          <c:val>
            <c:numRef>
              <c:f>'CCC Summary'!$Q$50</c:f>
              <c:numCache>
                <c:formatCode>0</c:formatCode>
                <c:ptCount val="1"/>
                <c:pt idx="0">
                  <c:v>0</c:v>
                </c:pt>
              </c:numCache>
            </c:numRef>
          </c:val>
          <c:extLst>
            <c:ext xmlns:c16="http://schemas.microsoft.com/office/drawing/2014/chart" uri="{C3380CC4-5D6E-409C-BE32-E72D297353CC}">
              <c16:uniqueId val="{00000004-0880-43B6-BBE0-93C3CC9A0D12}"/>
            </c:ext>
          </c:extLst>
        </c:ser>
        <c:ser>
          <c:idx val="1"/>
          <c:order val="4"/>
          <c:tx>
            <c:strRef>
              <c:f>'CCC Summary'!$P$51</c:f>
              <c:strCache>
                <c:ptCount val="1"/>
                <c:pt idx="0">
                  <c:v>GFI Surplus</c:v>
                </c:pt>
              </c:strCache>
            </c:strRef>
          </c:tx>
          <c:spPr>
            <a:pattFill prst="wdDnDiag">
              <a:fgClr>
                <a:srgbClr val="5E948A"/>
              </a:fgClr>
              <a:bgClr>
                <a:schemeClr val="bg1"/>
              </a:bgClr>
            </a:pattFill>
            <a:ln>
              <a:noFill/>
            </a:ln>
            <a:effectLst/>
          </c:spPr>
          <c:invertIfNegative val="0"/>
          <c:dLbls>
            <c:numFmt formatCode="\-\ #,##0" sourceLinked="0"/>
            <c:spPr>
              <a:pattFill prst="wdDnDiag">
                <a:fgClr>
                  <a:srgbClr val="C2D8D4"/>
                </a:fgClr>
                <a:bgClr>
                  <a:schemeClr val="bg1"/>
                </a:bgClr>
              </a:patt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Summary'!$Q$51</c:f>
              <c:numCache>
                <c:formatCode>0</c:formatCode>
                <c:ptCount val="1"/>
                <c:pt idx="0">
                  <c:v>598.52895599998385</c:v>
                </c:pt>
              </c:numCache>
            </c:numRef>
          </c:val>
          <c:extLst>
            <c:ext xmlns:c16="http://schemas.microsoft.com/office/drawing/2014/chart" uri="{C3380CC4-5D6E-409C-BE32-E72D297353CC}">
              <c16:uniqueId val="{00000003-EFA2-42F9-BEC9-DBD0089BFF9A}"/>
            </c:ext>
          </c:extLst>
        </c:ser>
        <c:ser>
          <c:idx val="0"/>
          <c:order val="5"/>
          <c:tx>
            <c:strRef>
              <c:f>'CCC Summary'!$P$52</c:f>
              <c:strCache>
                <c:ptCount val="1"/>
                <c:pt idx="0">
                  <c:v>ZNZ Reward</c:v>
                </c:pt>
              </c:strCache>
            </c:strRef>
          </c:tx>
          <c:spPr>
            <a:solidFill>
              <a:srgbClr val="A3C5BF"/>
            </a:solidFill>
            <a:ln>
              <a:noFill/>
            </a:ln>
            <a:effectLst/>
          </c:spPr>
          <c:invertIfNegative val="0"/>
          <c:dPt>
            <c:idx val="0"/>
            <c:invertIfNegative val="0"/>
            <c:bubble3D val="0"/>
            <c:spPr>
              <a:pattFill prst="dkUpDiag">
                <a:fgClr>
                  <a:srgbClr val="A3C5BF"/>
                </a:fgClr>
                <a:bgClr>
                  <a:schemeClr val="bg1"/>
                </a:bgClr>
              </a:pattFill>
              <a:ln>
                <a:noFill/>
              </a:ln>
              <a:effectLst/>
            </c:spPr>
            <c:extLst>
              <c:ext xmlns:c16="http://schemas.microsoft.com/office/drawing/2014/chart" uri="{C3380CC4-5D6E-409C-BE32-E72D297353CC}">
                <c16:uniqueId val="{00000005-EFA2-42F9-BEC9-DBD0089BFF9A}"/>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2222638593349788"/>
                      <c:h val="5.8865917933092898E-2"/>
                    </c:manualLayout>
                  </c15:layout>
                </c:ext>
                <c:ext xmlns:c16="http://schemas.microsoft.com/office/drawing/2014/chart" uri="{C3380CC4-5D6E-409C-BE32-E72D297353CC}">
                  <c16:uniqueId val="{00000005-EFA2-42F9-BEC9-DBD0089BFF9A}"/>
                </c:ext>
              </c:extLst>
            </c:dLbl>
            <c:numFmt formatCode="\-\ #,##0" sourceLinked="0"/>
            <c:spPr>
              <a:solidFill>
                <a:srgbClr val="A3C5B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Summary'!$Q$52</c:f>
              <c:numCache>
                <c:formatCode>0</c:formatCode>
                <c:ptCount val="1"/>
                <c:pt idx="0">
                  <c:v>159.39299999999997</c:v>
                </c:pt>
              </c:numCache>
            </c:numRef>
          </c:val>
          <c:extLst>
            <c:ext xmlns:c16="http://schemas.microsoft.com/office/drawing/2014/chart" uri="{C3380CC4-5D6E-409C-BE32-E72D297353CC}">
              <c16:uniqueId val="{00000006-EFA2-42F9-BEC9-DBD0089BFF9A}"/>
            </c:ext>
          </c:extLst>
        </c:ser>
        <c:dLbls>
          <c:showLegendKey val="0"/>
          <c:showVal val="0"/>
          <c:showCatName val="0"/>
          <c:showSerName val="0"/>
          <c:showPercent val="0"/>
          <c:showBubbleSize val="0"/>
        </c:dLbls>
        <c:gapWidth val="150"/>
        <c:overlap val="100"/>
        <c:axId val="1015691248"/>
        <c:axId val="1015691728"/>
      </c:barChart>
      <c:lineChart>
        <c:grouping val="standard"/>
        <c:varyColors val="0"/>
        <c:ser>
          <c:idx val="5"/>
          <c:order val="2"/>
          <c:tx>
            <c:strRef>
              <c:f>'CCC Summary'!$P$53</c:f>
              <c:strCache>
                <c:ptCount val="1"/>
                <c:pt idx="0">
                  <c:v>Total S4</c:v>
                </c:pt>
              </c:strCache>
            </c:strRef>
          </c:tx>
          <c:spPr>
            <a:ln w="28575" cap="rnd">
              <a:solidFill>
                <a:schemeClr val="accent6"/>
              </a:solidFill>
              <a:round/>
            </a:ln>
            <a:effectLst/>
          </c:spPr>
          <c:marker>
            <c:symbol val="none"/>
          </c:marker>
          <c:dPt>
            <c:idx val="0"/>
            <c:marker>
              <c:symbol val="none"/>
            </c:marker>
            <c:bubble3D val="0"/>
            <c:spPr>
              <a:ln w="28575" cap="rnd">
                <a:solidFill>
                  <a:schemeClr val="accent6"/>
                </a:solidFill>
                <a:round/>
              </a:ln>
              <a:effectLst/>
            </c:spPr>
            <c:extLst>
              <c:ext xmlns:c16="http://schemas.microsoft.com/office/drawing/2014/chart" uri="{C3380CC4-5D6E-409C-BE32-E72D297353CC}">
                <c16:uniqueId val="{00000008-EFA2-42F9-BEC9-DBD0089BFF9A}"/>
              </c:ext>
            </c:extLst>
          </c:dPt>
          <c:val>
            <c:numRef>
              <c:f>'CCC Summary'!$Q$53</c:f>
              <c:numCache>
                <c:formatCode>0</c:formatCode>
                <c:ptCount val="1"/>
                <c:pt idx="0">
                  <c:v>793.80166459433485</c:v>
                </c:pt>
              </c:numCache>
            </c:numRef>
          </c:val>
          <c:smooth val="0"/>
          <c:extLst>
            <c:ext xmlns:c16="http://schemas.microsoft.com/office/drawing/2014/chart" uri="{C3380CC4-5D6E-409C-BE32-E72D297353CC}">
              <c16:uniqueId val="{00000009-EFA2-42F9-BEC9-DBD0089BFF9A}"/>
            </c:ext>
          </c:extLst>
        </c:ser>
        <c:dLbls>
          <c:showLegendKey val="0"/>
          <c:showVal val="0"/>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min val="-1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r"/>
      <c:legendEntry>
        <c:idx val="5"/>
        <c:delete val="1"/>
      </c:legendEntry>
      <c:layout>
        <c:manualLayout>
          <c:xMode val="edge"/>
          <c:yMode val="edge"/>
          <c:x val="2.5486731346773067E-2"/>
          <c:y val="0.7895801407464792"/>
          <c:w val="0.97451339310792273"/>
          <c:h val="0.210419859253520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dirty="0">
                <a:solidFill>
                  <a:sysClr val="windowText" lastClr="000000">
                    <a:lumMod val="65000"/>
                    <a:lumOff val="35000"/>
                  </a:sysClr>
                </a:solidFill>
              </a:rPr>
              <a:t>GHG Fuel Intensity (GFI) Reduction Factors (Z-Factors)</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4543647085745564E-2"/>
          <c:y val="8.1105104080246196E-2"/>
          <c:w val="0.93042646473898938"/>
          <c:h val="0.74775500397839345"/>
        </c:manualLayout>
      </c:layout>
      <c:barChart>
        <c:barDir val="col"/>
        <c:grouping val="stacked"/>
        <c:varyColors val="0"/>
        <c:ser>
          <c:idx val="0"/>
          <c:order val="0"/>
          <c:tx>
            <c:strRef>
              <c:f>'IMO GFI'!$G$4</c:f>
              <c:strCache>
                <c:ptCount val="1"/>
                <c:pt idx="0">
                  <c:v>Over-compliant</c:v>
                </c:pt>
              </c:strCache>
            </c:strRef>
          </c:tx>
          <c:spPr>
            <a:solidFill>
              <a:srgbClr val="DCF0D6"/>
            </a:solidFill>
            <a:ln>
              <a:noFill/>
            </a:ln>
            <a:effectLst/>
          </c:spPr>
          <c:invertIfNegative val="0"/>
          <c:cat>
            <c:strRef>
              <c:f>'IMO GFI'!$B$6:$B$29</c:f>
              <c:strCache>
                <c:ptCount val="24"/>
                <c:pt idx="0">
                  <c:v>Pre-NZF</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strCache>
            </c:strRef>
          </c:cat>
          <c:val>
            <c:numRef>
              <c:f>'IMO GFI'!$G$6:$G$29</c:f>
              <c:numCache>
                <c:formatCode>0.00</c:formatCode>
                <c:ptCount val="24"/>
                <c:pt idx="0">
                  <c:v>93.3</c:v>
                </c:pt>
                <c:pt idx="1">
                  <c:v>77.438999999999993</c:v>
                </c:pt>
                <c:pt idx="2">
                  <c:v>75.572999999999993</c:v>
                </c:pt>
                <c:pt idx="3">
                  <c:v>73.707000000000008</c:v>
                </c:pt>
                <c:pt idx="4">
                  <c:v>69.601799999999997</c:v>
                </c:pt>
                <c:pt idx="5">
                  <c:v>65.496600000000001</c:v>
                </c:pt>
                <c:pt idx="6">
                  <c:v>61.391400000000004</c:v>
                </c:pt>
                <c:pt idx="7">
                  <c:v>57.286199999999994</c:v>
                </c:pt>
                <c:pt idx="8">
                  <c:v>53.180999999998939</c:v>
                </c:pt>
                <c:pt idx="9">
                  <c:v>46.649999999999572</c:v>
                </c:pt>
                <c:pt idx="10">
                  <c:v>40.119000000000213</c:v>
                </c:pt>
                <c:pt idx="11">
                  <c:v>33.587999999998196</c:v>
                </c:pt>
                <c:pt idx="12">
                  <c:v>27.056999999998833</c:v>
                </c:pt>
                <c:pt idx="13">
                  <c:v>20.525999999999467</c:v>
                </c:pt>
                <c:pt idx="14">
                  <c:v>17.727000000000025</c:v>
                </c:pt>
                <c:pt idx="15">
                  <c:v>14.927999999999919</c:v>
                </c:pt>
                <c:pt idx="16">
                  <c:v>12.128999999999813</c:v>
                </c:pt>
                <c:pt idx="17">
                  <c:v>9.329999999999707</c:v>
                </c:pt>
                <c:pt idx="18">
                  <c:v>6.5310000000002644</c:v>
                </c:pt>
                <c:pt idx="19">
                  <c:v>3.7320000000001587</c:v>
                </c:pt>
                <c:pt idx="20">
                  <c:v>0.93300000000005257</c:v>
                </c:pt>
                <c:pt idx="21">
                  <c:v>0</c:v>
                </c:pt>
                <c:pt idx="22">
                  <c:v>0</c:v>
                </c:pt>
                <c:pt idx="23">
                  <c:v>0</c:v>
                </c:pt>
              </c:numCache>
            </c:numRef>
          </c:val>
          <c:extLst>
            <c:ext xmlns:c16="http://schemas.microsoft.com/office/drawing/2014/chart" uri="{C3380CC4-5D6E-409C-BE32-E72D297353CC}">
              <c16:uniqueId val="{00000000-FA5C-4B1E-93C3-782328F82806}"/>
            </c:ext>
          </c:extLst>
        </c:ser>
        <c:ser>
          <c:idx val="1"/>
          <c:order val="1"/>
          <c:tx>
            <c:strRef>
              <c:f>'IMO GFI'!$H$4</c:f>
              <c:strCache>
                <c:ptCount val="1"/>
                <c:pt idx="0">
                  <c:v>Tier 1 Range</c:v>
                </c:pt>
              </c:strCache>
            </c:strRef>
          </c:tx>
          <c:spPr>
            <a:solidFill>
              <a:srgbClr val="FCEEC8"/>
            </a:solidFill>
            <a:ln>
              <a:noFill/>
            </a:ln>
            <a:effectLst/>
          </c:spPr>
          <c:invertIfNegative val="0"/>
          <c:dLbls>
            <c:dLbl>
              <c:idx val="0"/>
              <c:layout>
                <c:manualLayout>
                  <c:x val="0"/>
                  <c:y val="7.5206717581354943E-2"/>
                </c:manualLayout>
              </c:layout>
              <c:tx>
                <c:rich>
                  <a:bodyPr/>
                  <a:lstStyle/>
                  <a:p>
                    <a:fld id="{8652DB48-CFE5-411A-A958-6CF0A3FE568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A5C-4B1E-93C3-782328F82806}"/>
                </c:ext>
              </c:extLst>
            </c:dLbl>
            <c:dLbl>
              <c:idx val="1"/>
              <c:tx>
                <c:rich>
                  <a:bodyPr/>
                  <a:lstStyle/>
                  <a:p>
                    <a:fld id="{FF57F176-68F1-4B75-8694-83C27BFEAD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A5C-4B1E-93C3-782328F82806}"/>
                </c:ext>
              </c:extLst>
            </c:dLbl>
            <c:dLbl>
              <c:idx val="2"/>
              <c:tx>
                <c:rich>
                  <a:bodyPr/>
                  <a:lstStyle/>
                  <a:p>
                    <a:fld id="{DAA887A4-2D9B-4CC9-8E1B-7B72B582E2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A5C-4B1E-93C3-782328F82806}"/>
                </c:ext>
              </c:extLst>
            </c:dLbl>
            <c:dLbl>
              <c:idx val="3"/>
              <c:tx>
                <c:rich>
                  <a:bodyPr/>
                  <a:lstStyle/>
                  <a:p>
                    <a:fld id="{FB4D92A0-5823-4D41-8446-41A7F4EE0B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A5C-4B1E-93C3-782328F82806}"/>
                </c:ext>
              </c:extLst>
            </c:dLbl>
            <c:dLbl>
              <c:idx val="4"/>
              <c:tx>
                <c:rich>
                  <a:bodyPr/>
                  <a:lstStyle/>
                  <a:p>
                    <a:fld id="{255D1B55-F72B-42D1-B0FE-1E2C1300BC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A5C-4B1E-93C3-782328F82806}"/>
                </c:ext>
              </c:extLst>
            </c:dLbl>
            <c:dLbl>
              <c:idx val="5"/>
              <c:tx>
                <c:rich>
                  <a:bodyPr/>
                  <a:lstStyle/>
                  <a:p>
                    <a:fld id="{08677D79-049A-4ECE-BF92-819DA41D66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A5C-4B1E-93C3-782328F82806}"/>
                </c:ext>
              </c:extLst>
            </c:dLbl>
            <c:dLbl>
              <c:idx val="6"/>
              <c:tx>
                <c:rich>
                  <a:bodyPr/>
                  <a:lstStyle/>
                  <a:p>
                    <a:fld id="{23196F4D-4389-4581-89C0-80F88C9A50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A5C-4B1E-93C3-782328F82806}"/>
                </c:ext>
              </c:extLst>
            </c:dLbl>
            <c:dLbl>
              <c:idx val="7"/>
              <c:tx>
                <c:rich>
                  <a:bodyPr/>
                  <a:lstStyle/>
                  <a:p>
                    <a:fld id="{BB154109-D219-48AD-A471-F9078DCEFA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A5C-4B1E-93C3-782328F82806}"/>
                </c:ext>
              </c:extLst>
            </c:dLbl>
            <c:dLbl>
              <c:idx val="8"/>
              <c:tx>
                <c:rich>
                  <a:bodyPr/>
                  <a:lstStyle/>
                  <a:p>
                    <a:fld id="{B3FB2764-2A6A-426F-B521-923A6BACF9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A5C-4B1E-93C3-782328F82806}"/>
                </c:ext>
              </c:extLst>
            </c:dLbl>
            <c:dLbl>
              <c:idx val="9"/>
              <c:tx>
                <c:rich>
                  <a:bodyPr/>
                  <a:lstStyle/>
                  <a:p>
                    <a:fld id="{81D58975-B17F-42B6-B8F5-63806F0A9B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A5C-4B1E-93C3-782328F82806}"/>
                </c:ext>
              </c:extLst>
            </c:dLbl>
            <c:dLbl>
              <c:idx val="10"/>
              <c:tx>
                <c:rich>
                  <a:bodyPr/>
                  <a:lstStyle/>
                  <a:p>
                    <a:fld id="{6541DB73-676F-4536-889A-7C5B6DA821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A5C-4B1E-93C3-782328F82806}"/>
                </c:ext>
              </c:extLst>
            </c:dLbl>
            <c:dLbl>
              <c:idx val="11"/>
              <c:tx>
                <c:rich>
                  <a:bodyPr/>
                  <a:lstStyle/>
                  <a:p>
                    <a:fld id="{5D128B68-7D5D-48FC-8779-06AF832AB8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A5C-4B1E-93C3-782328F82806}"/>
                </c:ext>
              </c:extLst>
            </c:dLbl>
            <c:dLbl>
              <c:idx val="12"/>
              <c:tx>
                <c:rich>
                  <a:bodyPr/>
                  <a:lstStyle/>
                  <a:p>
                    <a:fld id="{41E7460E-1E64-4491-8918-8EDBFAAD24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A5C-4B1E-93C3-782328F82806}"/>
                </c:ext>
              </c:extLst>
            </c:dLbl>
            <c:dLbl>
              <c:idx val="13"/>
              <c:tx>
                <c:rich>
                  <a:bodyPr/>
                  <a:lstStyle/>
                  <a:p>
                    <a:fld id="{B54FC276-4449-4341-95A0-FEF2B9AD21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A5C-4B1E-93C3-782328F82806}"/>
                </c:ext>
              </c:extLst>
            </c:dLbl>
            <c:dLbl>
              <c:idx val="14"/>
              <c:tx>
                <c:rich>
                  <a:bodyPr/>
                  <a:lstStyle/>
                  <a:p>
                    <a:fld id="{ADEBCF51-B10E-4699-AFDD-5A21C5DE06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A5C-4B1E-93C3-782328F82806}"/>
                </c:ext>
              </c:extLst>
            </c:dLbl>
            <c:dLbl>
              <c:idx val="15"/>
              <c:tx>
                <c:rich>
                  <a:bodyPr/>
                  <a:lstStyle/>
                  <a:p>
                    <a:fld id="{A4E2C633-A691-45BE-BB82-802E395209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A5C-4B1E-93C3-782328F82806}"/>
                </c:ext>
              </c:extLst>
            </c:dLbl>
            <c:dLbl>
              <c:idx val="16"/>
              <c:tx>
                <c:rich>
                  <a:bodyPr/>
                  <a:lstStyle/>
                  <a:p>
                    <a:fld id="{96886F3C-C79A-497E-996A-3D1842311F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A5C-4B1E-93C3-782328F82806}"/>
                </c:ext>
              </c:extLst>
            </c:dLbl>
            <c:dLbl>
              <c:idx val="17"/>
              <c:tx>
                <c:rich>
                  <a:bodyPr/>
                  <a:lstStyle/>
                  <a:p>
                    <a:fld id="{869008C1-AA01-4835-BD97-821F574A1F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A5C-4B1E-93C3-782328F82806}"/>
                </c:ext>
              </c:extLst>
            </c:dLbl>
            <c:dLbl>
              <c:idx val="18"/>
              <c:tx>
                <c:rich>
                  <a:bodyPr/>
                  <a:lstStyle/>
                  <a:p>
                    <a:fld id="{624EE1D7-B6A9-41B3-99D4-9931CDDE85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A5C-4B1E-93C3-782328F82806}"/>
                </c:ext>
              </c:extLst>
            </c:dLbl>
            <c:dLbl>
              <c:idx val="19"/>
              <c:tx>
                <c:rich>
                  <a:bodyPr/>
                  <a:lstStyle/>
                  <a:p>
                    <a:fld id="{155F0849-9CA3-4D4B-9DD6-CA5164E8B0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A5C-4B1E-93C3-782328F82806}"/>
                </c:ext>
              </c:extLst>
            </c:dLbl>
            <c:dLbl>
              <c:idx val="20"/>
              <c:tx>
                <c:rich>
                  <a:bodyPr/>
                  <a:lstStyle/>
                  <a:p>
                    <a:fld id="{9D78D749-30D5-4C46-BEF3-E146A0C2DE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A5C-4B1E-93C3-782328F82806}"/>
                </c:ext>
              </c:extLst>
            </c:dLbl>
            <c:dLbl>
              <c:idx val="21"/>
              <c:tx>
                <c:rich>
                  <a:bodyPr/>
                  <a:lstStyle/>
                  <a:p>
                    <a:fld id="{CFFC2505-65FB-47B7-97C4-BA2CF9BC07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A5C-4B1E-93C3-782328F82806}"/>
                </c:ext>
              </c:extLst>
            </c:dLbl>
            <c:dLbl>
              <c:idx val="22"/>
              <c:tx>
                <c:rich>
                  <a:bodyPr/>
                  <a:lstStyle/>
                  <a:p>
                    <a:fld id="{A7928EEC-BFDA-4520-9864-6D9C8F32E2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A5C-4B1E-93C3-782328F82806}"/>
                </c:ext>
              </c:extLst>
            </c:dLbl>
            <c:dLbl>
              <c:idx val="23"/>
              <c:tx>
                <c:rich>
                  <a:bodyPr/>
                  <a:lstStyle/>
                  <a:p>
                    <a:fld id="{BDB47B3A-375C-4921-8CA9-CC06AB40AB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A5C-4B1E-93C3-782328F828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'IMO GFI'!$B$6:$B$29</c:f>
              <c:strCache>
                <c:ptCount val="24"/>
                <c:pt idx="0">
                  <c:v>Pre-NZF</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strCache>
            </c:strRef>
          </c:cat>
          <c:val>
            <c:numRef>
              <c:f>'IMO GFI'!$H$6:$H$29</c:f>
              <c:numCache>
                <c:formatCode>0.00</c:formatCode>
                <c:ptCount val="24"/>
                <c:pt idx="0">
                  <c:v>0</c:v>
                </c:pt>
                <c:pt idx="1">
                  <c:v>12.129000000000005</c:v>
                </c:pt>
                <c:pt idx="2">
                  <c:v>12.129000000000005</c:v>
                </c:pt>
                <c:pt idx="3">
                  <c:v>12.128999999999991</c:v>
                </c:pt>
                <c:pt idx="4">
                  <c:v>12.129000000000005</c:v>
                </c:pt>
                <c:pt idx="5">
                  <c:v>12.128999999999991</c:v>
                </c:pt>
                <c:pt idx="6">
                  <c:v>12.128999999999991</c:v>
                </c:pt>
                <c:pt idx="7">
                  <c:v>12.129000000000005</c:v>
                </c:pt>
                <c:pt idx="8">
                  <c:v>12.128999999999998</c:v>
                </c:pt>
                <c:pt idx="9">
                  <c:v>12.129000000000005</c:v>
                </c:pt>
                <c:pt idx="10">
                  <c:v>12.128999999999998</c:v>
                </c:pt>
                <c:pt idx="11">
                  <c:v>12.128999999999998</c:v>
                </c:pt>
                <c:pt idx="12">
                  <c:v>12.129000000000001</c:v>
                </c:pt>
                <c:pt idx="13">
                  <c:v>12.129000000000001</c:v>
                </c:pt>
                <c:pt idx="14">
                  <c:v>12.129000000000001</c:v>
                </c:pt>
                <c:pt idx="15">
                  <c:v>12.129000000000001</c:v>
                </c:pt>
                <c:pt idx="16">
                  <c:v>12.129000000000001</c:v>
                </c:pt>
                <c:pt idx="17">
                  <c:v>12.129000000000001</c:v>
                </c:pt>
                <c:pt idx="18">
                  <c:v>12.128999999999998</c:v>
                </c:pt>
                <c:pt idx="19">
                  <c:v>12.129</c:v>
                </c:pt>
                <c:pt idx="20">
                  <c:v>12.129</c:v>
                </c:pt>
                <c:pt idx="21">
                  <c:v>10.262999999999947</c:v>
                </c:pt>
                <c:pt idx="22">
                  <c:v>7.4639999999998405</c:v>
                </c:pt>
                <c:pt idx="23">
                  <c:v>4.6649999999997345</c:v>
                </c:pt>
              </c:numCache>
            </c:numRef>
          </c:val>
          <c:extLst>
            <c:ext xmlns:c15="http://schemas.microsoft.com/office/drawing/2012/chart" uri="{02D57815-91ED-43cb-92C2-25804820EDAC}">
              <c15:datalabelsRange>
                <c15:f>'IMO GFI'!$F$6:$F$29</c15:f>
                <c15:dlblRangeCache>
                  <c:ptCount val="24"/>
                  <c:pt idx="1">
                    <c:v>-17%</c:v>
                  </c:pt>
                  <c:pt idx="2">
                    <c:v>-19%</c:v>
                  </c:pt>
                  <c:pt idx="3">
                    <c:v>-21%</c:v>
                  </c:pt>
                  <c:pt idx="4">
                    <c:v>-25%</c:v>
                  </c:pt>
                  <c:pt idx="5">
                    <c:v>-30%</c:v>
                  </c:pt>
                  <c:pt idx="6">
                    <c:v>-34%</c:v>
                  </c:pt>
                  <c:pt idx="7">
                    <c:v>-39%</c:v>
                  </c:pt>
                  <c:pt idx="8">
                    <c:v>-43%</c:v>
                  </c:pt>
                </c15:dlblRangeCache>
              </c15:datalabelsRange>
            </c:ext>
            <c:ext xmlns:c16="http://schemas.microsoft.com/office/drawing/2014/chart" uri="{C3380CC4-5D6E-409C-BE32-E72D297353CC}">
              <c16:uniqueId val="{00000019-FA5C-4B1E-93C3-782328F82806}"/>
            </c:ext>
          </c:extLst>
        </c:ser>
        <c:ser>
          <c:idx val="2"/>
          <c:order val="2"/>
          <c:tx>
            <c:strRef>
              <c:f>'IMO GFI'!$I$4</c:f>
              <c:strCache>
                <c:ptCount val="1"/>
                <c:pt idx="0">
                  <c:v>Tier 2 Range</c:v>
                </c:pt>
              </c:strCache>
            </c:strRef>
          </c:tx>
          <c:spPr>
            <a:solidFill>
              <a:srgbClr val="FAE0DA"/>
            </a:solidFill>
            <a:ln>
              <a:noFill/>
            </a:ln>
            <a:effectLst/>
          </c:spPr>
          <c:invertIfNegative val="0"/>
          <c:dLbls>
            <c:dLbl>
              <c:idx val="0"/>
              <c:tx>
                <c:rich>
                  <a:bodyPr/>
                  <a:lstStyle/>
                  <a:p>
                    <a:fld id="{BA23FF3C-741C-4462-B95A-DE110ED16E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FA5C-4B1E-93C3-782328F82806}"/>
                </c:ext>
              </c:extLst>
            </c:dLbl>
            <c:dLbl>
              <c:idx val="1"/>
              <c:tx>
                <c:rich>
                  <a:bodyPr/>
                  <a:lstStyle/>
                  <a:p>
                    <a:fld id="{781127AC-D560-4DB1-9017-102E0B90E2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A5C-4B1E-93C3-782328F82806}"/>
                </c:ext>
              </c:extLst>
            </c:dLbl>
            <c:dLbl>
              <c:idx val="2"/>
              <c:tx>
                <c:rich>
                  <a:bodyPr/>
                  <a:lstStyle/>
                  <a:p>
                    <a:fld id="{4A017FEC-498A-4361-9E6F-842E535525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A5C-4B1E-93C3-782328F82806}"/>
                </c:ext>
              </c:extLst>
            </c:dLbl>
            <c:dLbl>
              <c:idx val="3"/>
              <c:tx>
                <c:rich>
                  <a:bodyPr/>
                  <a:lstStyle/>
                  <a:p>
                    <a:fld id="{3718BC7A-A774-4ADF-8E37-1D699EB672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A5C-4B1E-93C3-782328F82806}"/>
                </c:ext>
              </c:extLst>
            </c:dLbl>
            <c:dLbl>
              <c:idx val="4"/>
              <c:tx>
                <c:rich>
                  <a:bodyPr/>
                  <a:lstStyle/>
                  <a:p>
                    <a:fld id="{A2EBC02E-D6FA-43A1-88F8-7EC07835F6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A5C-4B1E-93C3-782328F82806}"/>
                </c:ext>
              </c:extLst>
            </c:dLbl>
            <c:dLbl>
              <c:idx val="5"/>
              <c:tx>
                <c:rich>
                  <a:bodyPr/>
                  <a:lstStyle/>
                  <a:p>
                    <a:fld id="{568C28D1-C19A-4428-8648-F567EB89AA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A5C-4B1E-93C3-782328F82806}"/>
                </c:ext>
              </c:extLst>
            </c:dLbl>
            <c:dLbl>
              <c:idx val="6"/>
              <c:tx>
                <c:rich>
                  <a:bodyPr/>
                  <a:lstStyle/>
                  <a:p>
                    <a:fld id="{96E911D2-814F-4FAA-8CB8-340EDD2A13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A5C-4B1E-93C3-782328F82806}"/>
                </c:ext>
              </c:extLst>
            </c:dLbl>
            <c:dLbl>
              <c:idx val="7"/>
              <c:tx>
                <c:rich>
                  <a:bodyPr/>
                  <a:lstStyle/>
                  <a:p>
                    <a:fld id="{7EB9C6B3-8B03-4D0D-9E1E-99694287AA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A5C-4B1E-93C3-782328F82806}"/>
                </c:ext>
              </c:extLst>
            </c:dLbl>
            <c:dLbl>
              <c:idx val="8"/>
              <c:tx>
                <c:rich>
                  <a:bodyPr/>
                  <a:lstStyle/>
                  <a:p>
                    <a:fld id="{F5F0C213-481A-4217-BD08-E7365D6788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A5C-4B1E-93C3-782328F82806}"/>
                </c:ext>
              </c:extLst>
            </c:dLbl>
            <c:dLbl>
              <c:idx val="9"/>
              <c:tx>
                <c:rich>
                  <a:bodyPr/>
                  <a:lstStyle/>
                  <a:p>
                    <a:fld id="{CFB8EF65-8F32-4C1D-8926-AA67B70DDA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A5C-4B1E-93C3-782328F82806}"/>
                </c:ext>
              </c:extLst>
            </c:dLbl>
            <c:dLbl>
              <c:idx val="10"/>
              <c:tx>
                <c:rich>
                  <a:bodyPr/>
                  <a:lstStyle/>
                  <a:p>
                    <a:fld id="{96536E84-A956-4B61-94D0-B908796906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A5C-4B1E-93C3-782328F82806}"/>
                </c:ext>
              </c:extLst>
            </c:dLbl>
            <c:dLbl>
              <c:idx val="11"/>
              <c:tx>
                <c:rich>
                  <a:bodyPr/>
                  <a:lstStyle/>
                  <a:p>
                    <a:fld id="{1A13E86C-14A5-43EE-AE3F-0458C2BF83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A5C-4B1E-93C3-782328F82806}"/>
                </c:ext>
              </c:extLst>
            </c:dLbl>
            <c:dLbl>
              <c:idx val="12"/>
              <c:tx>
                <c:rich>
                  <a:bodyPr/>
                  <a:lstStyle/>
                  <a:p>
                    <a:fld id="{36DE45B2-041E-4317-B6C1-A9B4474165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FA5C-4B1E-93C3-782328F82806}"/>
                </c:ext>
              </c:extLst>
            </c:dLbl>
            <c:dLbl>
              <c:idx val="13"/>
              <c:tx>
                <c:rich>
                  <a:bodyPr/>
                  <a:lstStyle/>
                  <a:p>
                    <a:fld id="{AF27C147-441B-433A-88E7-E50FD98FF2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FA5C-4B1E-93C3-782328F82806}"/>
                </c:ext>
              </c:extLst>
            </c:dLbl>
            <c:dLbl>
              <c:idx val="14"/>
              <c:tx>
                <c:rich>
                  <a:bodyPr/>
                  <a:lstStyle/>
                  <a:p>
                    <a:fld id="{7D7E75CD-D4FC-4811-A5C9-D916B5C5AF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FA5C-4B1E-93C3-782328F82806}"/>
                </c:ext>
              </c:extLst>
            </c:dLbl>
            <c:dLbl>
              <c:idx val="15"/>
              <c:tx>
                <c:rich>
                  <a:bodyPr/>
                  <a:lstStyle/>
                  <a:p>
                    <a:fld id="{18F0206F-0EC2-4A2C-BFDB-886D2430CB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FA5C-4B1E-93C3-782328F82806}"/>
                </c:ext>
              </c:extLst>
            </c:dLbl>
            <c:dLbl>
              <c:idx val="16"/>
              <c:tx>
                <c:rich>
                  <a:bodyPr/>
                  <a:lstStyle/>
                  <a:p>
                    <a:fld id="{25A78184-351C-4921-BCA7-46DDBE429C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FA5C-4B1E-93C3-782328F82806}"/>
                </c:ext>
              </c:extLst>
            </c:dLbl>
            <c:dLbl>
              <c:idx val="17"/>
              <c:tx>
                <c:rich>
                  <a:bodyPr/>
                  <a:lstStyle/>
                  <a:p>
                    <a:fld id="{948BD2E7-ED9F-47B0-A3ED-63B0BE375D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FA5C-4B1E-93C3-782328F82806}"/>
                </c:ext>
              </c:extLst>
            </c:dLbl>
            <c:dLbl>
              <c:idx val="18"/>
              <c:tx>
                <c:rich>
                  <a:bodyPr/>
                  <a:lstStyle/>
                  <a:p>
                    <a:fld id="{BA62A7B8-B073-443E-A1D2-ABDFD43FCC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FA5C-4B1E-93C3-782328F82806}"/>
                </c:ext>
              </c:extLst>
            </c:dLbl>
            <c:dLbl>
              <c:idx val="19"/>
              <c:tx>
                <c:rich>
                  <a:bodyPr/>
                  <a:lstStyle/>
                  <a:p>
                    <a:fld id="{74BAA9B3-4F74-4446-A21E-BEA2BB52F8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FA5C-4B1E-93C3-782328F82806}"/>
                </c:ext>
              </c:extLst>
            </c:dLbl>
            <c:dLbl>
              <c:idx val="20"/>
              <c:tx>
                <c:rich>
                  <a:bodyPr/>
                  <a:lstStyle/>
                  <a:p>
                    <a:fld id="{B596112B-05D5-428D-AB5A-9E01AA23EC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FA5C-4B1E-93C3-782328F82806}"/>
                </c:ext>
              </c:extLst>
            </c:dLbl>
            <c:dLbl>
              <c:idx val="21"/>
              <c:tx>
                <c:rich>
                  <a:bodyPr/>
                  <a:lstStyle/>
                  <a:p>
                    <a:fld id="{CAA95FAF-B818-45B0-A28E-5926BF2877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FA5C-4B1E-93C3-782328F82806}"/>
                </c:ext>
              </c:extLst>
            </c:dLbl>
            <c:dLbl>
              <c:idx val="22"/>
              <c:tx>
                <c:rich>
                  <a:bodyPr/>
                  <a:lstStyle/>
                  <a:p>
                    <a:fld id="{C942E5DA-87F1-42F2-9FB9-ABC165281E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FA5C-4B1E-93C3-782328F82806}"/>
                </c:ext>
              </c:extLst>
            </c:dLbl>
            <c:dLbl>
              <c:idx val="23"/>
              <c:tx>
                <c:rich>
                  <a:bodyPr/>
                  <a:lstStyle/>
                  <a:p>
                    <a:fld id="{0A908E93-9958-4679-8EDD-EA3A699940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FA5C-4B1E-93C3-782328F828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'IMO GFI'!$B$6:$B$29</c:f>
              <c:strCache>
                <c:ptCount val="24"/>
                <c:pt idx="0">
                  <c:v>Pre-NZF</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strCache>
            </c:strRef>
          </c:cat>
          <c:val>
            <c:numRef>
              <c:f>'IMO GFI'!$I$6:$I$29</c:f>
              <c:numCache>
                <c:formatCode>0.00</c:formatCode>
                <c:ptCount val="24"/>
                <c:pt idx="0">
                  <c:v>0</c:v>
                </c:pt>
                <c:pt idx="1">
                  <c:v>3.7319999999999993</c:v>
                </c:pt>
                <c:pt idx="2">
                  <c:v>5.597999999999999</c:v>
                </c:pt>
                <c:pt idx="3">
                  <c:v>7.4639999999999986</c:v>
                </c:pt>
                <c:pt idx="4">
                  <c:v>11.569199999999995</c:v>
                </c:pt>
                <c:pt idx="5">
                  <c:v>15.674400000000006</c:v>
                </c:pt>
                <c:pt idx="6">
                  <c:v>19.779600000000002</c:v>
                </c:pt>
                <c:pt idx="7">
                  <c:v>23.884799999999998</c:v>
                </c:pt>
                <c:pt idx="8">
                  <c:v>27.990000000001061</c:v>
                </c:pt>
                <c:pt idx="9">
                  <c:v>34.52100000000042</c:v>
                </c:pt>
                <c:pt idx="10">
                  <c:v>41.051999999999786</c:v>
                </c:pt>
                <c:pt idx="11">
                  <c:v>47.583000000001803</c:v>
                </c:pt>
                <c:pt idx="12">
                  <c:v>54.114000000001155</c:v>
                </c:pt>
                <c:pt idx="13">
                  <c:v>60.645000000000522</c:v>
                </c:pt>
                <c:pt idx="14">
                  <c:v>63.443999999999974</c:v>
                </c:pt>
                <c:pt idx="15">
                  <c:v>66.243000000000066</c:v>
                </c:pt>
                <c:pt idx="16">
                  <c:v>69.042000000000186</c:v>
                </c:pt>
                <c:pt idx="17">
                  <c:v>71.841000000000278</c:v>
                </c:pt>
                <c:pt idx="18">
                  <c:v>74.639999999999731</c:v>
                </c:pt>
                <c:pt idx="19">
                  <c:v>77.438999999999837</c:v>
                </c:pt>
                <c:pt idx="20">
                  <c:v>80.237999999999943</c:v>
                </c:pt>
                <c:pt idx="21">
                  <c:v>83.037000000000049</c:v>
                </c:pt>
                <c:pt idx="22">
                  <c:v>85.836000000000155</c:v>
                </c:pt>
                <c:pt idx="23">
                  <c:v>88.635000000000261</c:v>
                </c:pt>
              </c:numCache>
            </c:numRef>
          </c:val>
          <c:extLst>
            <c:ext xmlns:c15="http://schemas.microsoft.com/office/drawing/2012/chart" uri="{02D57815-91ED-43cb-92C2-25804820EDAC}">
              <c15:datalabelsRange>
                <c15:f>'IMO GFI'!$D$6:$D$29</c15:f>
                <c15:dlblRangeCache>
                  <c:ptCount val="24"/>
                  <c:pt idx="1">
                    <c:v>-4%</c:v>
                  </c:pt>
                  <c:pt idx="2">
                    <c:v>-6%</c:v>
                  </c:pt>
                  <c:pt idx="3">
                    <c:v>-8%</c:v>
                  </c:pt>
                  <c:pt idx="4">
                    <c:v>-12%</c:v>
                  </c:pt>
                  <c:pt idx="5">
                    <c:v>-17%</c:v>
                  </c:pt>
                  <c:pt idx="6">
                    <c:v>-21%</c:v>
                  </c:pt>
                  <c:pt idx="7">
                    <c:v>-26%</c:v>
                  </c:pt>
                  <c:pt idx="8">
                    <c:v>-30%</c:v>
                  </c:pt>
                  <c:pt idx="13">
                    <c:v>-65%</c:v>
                  </c:pt>
                </c15:dlblRangeCache>
              </c15:datalabelsRange>
            </c:ext>
            <c:ext xmlns:c16="http://schemas.microsoft.com/office/drawing/2014/chart" uri="{C3380CC4-5D6E-409C-BE32-E72D297353CC}">
              <c16:uniqueId val="{00000032-FA5C-4B1E-93C3-782328F82806}"/>
            </c:ext>
          </c:extLst>
        </c:ser>
        <c:dLbls>
          <c:showLegendKey val="0"/>
          <c:showVal val="0"/>
          <c:showCatName val="0"/>
          <c:showSerName val="0"/>
          <c:showPercent val="0"/>
          <c:showBubbleSize val="0"/>
        </c:dLbls>
        <c:gapWidth val="0"/>
        <c:overlap val="100"/>
        <c:axId val="2105188815"/>
        <c:axId val="2105205615"/>
      </c:barChart>
      <c:catAx>
        <c:axId val="210518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5205615"/>
        <c:crosses val="autoZero"/>
        <c:auto val="1"/>
        <c:lblAlgn val="ctr"/>
        <c:lblOffset val="100"/>
        <c:noMultiLvlLbl val="0"/>
      </c:catAx>
      <c:valAx>
        <c:axId val="2105205615"/>
        <c:scaling>
          <c:orientation val="minMax"/>
          <c:max val="93.3"/>
          <c:min val="0"/>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51888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chart" Target="../charts/chart3.xml"/><Relationship Id="rId7"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6</xdr:col>
      <xdr:colOff>167305</xdr:colOff>
      <xdr:row>13</xdr:row>
      <xdr:rowOff>369445</xdr:rowOff>
    </xdr:from>
    <xdr:to>
      <xdr:col>13</xdr:col>
      <xdr:colOff>318017</xdr:colOff>
      <xdr:row>32</xdr:row>
      <xdr:rowOff>214312</xdr:rowOff>
    </xdr:to>
    <xdr:graphicFrame macro="">
      <xdr:nvGraphicFramePr>
        <xdr:cNvPr id="2" name="Chart 17">
          <a:extLst>
            <a:ext uri="{FF2B5EF4-FFF2-40B4-BE49-F238E27FC236}">
              <a16:creationId xmlns:a16="http://schemas.microsoft.com/office/drawing/2014/main" id="{189CD7AD-5015-49AA-BC4E-2A6BECCA93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164052</xdr:colOff>
      <xdr:row>3</xdr:row>
      <xdr:rowOff>59532</xdr:rowOff>
    </xdr:from>
    <xdr:to>
      <xdr:col>6</xdr:col>
      <xdr:colOff>2183473</xdr:colOff>
      <xdr:row>12</xdr:row>
      <xdr:rowOff>45615</xdr:rowOff>
    </xdr:to>
    <xdr:graphicFrame macro="">
      <xdr:nvGraphicFramePr>
        <xdr:cNvPr id="19" name="Chart 18">
          <a:extLst>
            <a:ext uri="{FF2B5EF4-FFF2-40B4-BE49-F238E27FC236}">
              <a16:creationId xmlns:a16="http://schemas.microsoft.com/office/drawing/2014/main" id="{E2B6948A-4B0E-42C1-BBC8-54BFC9C784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2313028</xdr:colOff>
      <xdr:row>3</xdr:row>
      <xdr:rowOff>71436</xdr:rowOff>
    </xdr:from>
    <xdr:to>
      <xdr:col>8</xdr:col>
      <xdr:colOff>1017609</xdr:colOff>
      <xdr:row>12</xdr:row>
      <xdr:rowOff>39112</xdr:rowOff>
    </xdr:to>
    <xdr:graphicFrame macro="">
      <xdr:nvGraphicFramePr>
        <xdr:cNvPr id="20" name="Chart 3">
          <a:extLst>
            <a:ext uri="{FF2B5EF4-FFF2-40B4-BE49-F238E27FC236}">
              <a16:creationId xmlns:a16="http://schemas.microsoft.com/office/drawing/2014/main" id="{48488246-DB2F-4CD6-8BA4-C1A1FA370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30893</xdr:colOff>
      <xdr:row>3</xdr:row>
      <xdr:rowOff>71438</xdr:rowOff>
    </xdr:from>
    <xdr:to>
      <xdr:col>11</xdr:col>
      <xdr:colOff>142088</xdr:colOff>
      <xdr:row>12</xdr:row>
      <xdr:rowOff>39594</xdr:rowOff>
    </xdr:to>
    <xdr:graphicFrame macro="">
      <xdr:nvGraphicFramePr>
        <xdr:cNvPr id="21" name="Chart 4">
          <a:extLst>
            <a:ext uri="{FF2B5EF4-FFF2-40B4-BE49-F238E27FC236}">
              <a16:creationId xmlns:a16="http://schemas.microsoft.com/office/drawing/2014/main" id="{0B2C9CB3-12B7-4488-B005-1D9A4C152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255958</xdr:colOff>
      <xdr:row>3</xdr:row>
      <xdr:rowOff>59531</xdr:rowOff>
    </xdr:from>
    <xdr:to>
      <xdr:col>13</xdr:col>
      <xdr:colOff>354454</xdr:colOff>
      <xdr:row>12</xdr:row>
      <xdr:rowOff>30739</xdr:rowOff>
    </xdr:to>
    <xdr:graphicFrame macro="">
      <xdr:nvGraphicFramePr>
        <xdr:cNvPr id="22" name="Chart 23">
          <a:extLst>
            <a:ext uri="{FF2B5EF4-FFF2-40B4-BE49-F238E27FC236}">
              <a16:creationId xmlns:a16="http://schemas.microsoft.com/office/drawing/2014/main" id="{8EC2F91F-FB08-4A41-B4A7-1E127F1455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377024</xdr:colOff>
      <xdr:row>5</xdr:row>
      <xdr:rowOff>108477</xdr:rowOff>
    </xdr:from>
    <xdr:to>
      <xdr:col>6</xdr:col>
      <xdr:colOff>2053498</xdr:colOff>
      <xdr:row>5</xdr:row>
      <xdr:rowOff>353139</xdr:rowOff>
    </xdr:to>
    <xdr:sp macro="" textlink="$G$51">
      <xdr:nvSpPr>
        <xdr:cNvPr id="7" name="TextBox 6">
          <a:extLst>
            <a:ext uri="{FF2B5EF4-FFF2-40B4-BE49-F238E27FC236}">
              <a16:creationId xmlns:a16="http://schemas.microsoft.com/office/drawing/2014/main" id="{9548145C-0CBD-45F3-B8F7-CC21F55B411B}"/>
            </a:ext>
          </a:extLst>
        </xdr:cNvPr>
        <xdr:cNvSpPr txBox="1"/>
      </xdr:nvSpPr>
      <xdr:spPr>
        <a:xfrm>
          <a:off x="10886274" y="2156352"/>
          <a:ext cx="1676474" cy="24466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E368E0A-2563-4A98-93D4-744B008D6F44}" type="TxLink">
            <a:rPr lang="en-US" sz="900" b="1" i="1" u="none" strike="noStrike">
              <a:solidFill>
                <a:sysClr val="windowText" lastClr="000000"/>
              </a:solidFill>
              <a:latin typeface="Calibri"/>
              <a:ea typeface="Calibri"/>
              <a:cs typeface="Calibri"/>
            </a:rPr>
            <a:pPr algn="ctr"/>
            <a:t>Total S1 = 1053 USD/tLSFOeq</a:t>
          </a:fld>
          <a:endParaRPr lang="en-US" sz="1100">
            <a:solidFill>
              <a:sysClr val="windowText" lastClr="000000"/>
            </a:solidFill>
          </a:endParaRPr>
        </a:p>
      </xdr:txBody>
    </xdr:sp>
    <xdr:clientData/>
  </xdr:twoCellAnchor>
  <xdr:twoCellAnchor>
    <xdr:from>
      <xdr:col>7</xdr:col>
      <xdr:colOff>55703</xdr:colOff>
      <xdr:row>5</xdr:row>
      <xdr:rowOff>113240</xdr:rowOff>
    </xdr:from>
    <xdr:to>
      <xdr:col>8</xdr:col>
      <xdr:colOff>871649</xdr:colOff>
      <xdr:row>5</xdr:row>
      <xdr:rowOff>348377</xdr:rowOff>
    </xdr:to>
    <xdr:sp macro="" textlink="$J$52">
      <xdr:nvSpPr>
        <xdr:cNvPr id="8" name="TextBox 7">
          <a:extLst>
            <a:ext uri="{FF2B5EF4-FFF2-40B4-BE49-F238E27FC236}">
              <a16:creationId xmlns:a16="http://schemas.microsoft.com/office/drawing/2014/main" id="{89C82D57-EA32-454E-AC73-13E0D4E67D95}"/>
            </a:ext>
          </a:extLst>
        </xdr:cNvPr>
        <xdr:cNvSpPr txBox="1"/>
      </xdr:nvSpPr>
      <xdr:spPr>
        <a:xfrm>
          <a:off x="12954141" y="2161115"/>
          <a:ext cx="1625571" cy="23513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B56FEA49-7E55-4DAB-B437-8551FD1CDFEE}" type="TxLink">
            <a:rPr lang="en-US" sz="900" b="1" i="1" u="none" strike="noStrike">
              <a:solidFill>
                <a:sysClr val="windowText" lastClr="000000"/>
              </a:solidFill>
              <a:latin typeface="Calibri"/>
              <a:ea typeface="Calibri"/>
              <a:cs typeface="Calibri"/>
            </a:rPr>
            <a:pPr marL="0" indent="0" algn="ctr"/>
            <a:t>Total S2 = 688 USD/tLSFOeq</a:t>
          </a:fld>
          <a:endParaRPr lang="en-US" sz="900" b="1" i="1" u="none" strike="noStrike">
            <a:solidFill>
              <a:sysClr val="windowText" lastClr="000000"/>
            </a:solidFill>
            <a:latin typeface="Calibri"/>
            <a:ea typeface="Calibri"/>
            <a:cs typeface="Calibri"/>
          </a:endParaRPr>
        </a:p>
      </xdr:txBody>
    </xdr:sp>
    <xdr:clientData/>
  </xdr:twoCellAnchor>
  <xdr:twoCellAnchor>
    <xdr:from>
      <xdr:col>9</xdr:col>
      <xdr:colOff>209679</xdr:colOff>
      <xdr:row>5</xdr:row>
      <xdr:rowOff>107207</xdr:rowOff>
    </xdr:from>
    <xdr:to>
      <xdr:col>11</xdr:col>
      <xdr:colOff>26649</xdr:colOff>
      <xdr:row>5</xdr:row>
      <xdr:rowOff>354409</xdr:rowOff>
    </xdr:to>
    <xdr:sp macro="" textlink="$M$52">
      <xdr:nvSpPr>
        <xdr:cNvPr id="9" name="TextBox 8">
          <a:extLst>
            <a:ext uri="{FF2B5EF4-FFF2-40B4-BE49-F238E27FC236}">
              <a16:creationId xmlns:a16="http://schemas.microsoft.com/office/drawing/2014/main" id="{AB6018CB-9F65-4501-A5DE-81815C5D01D1}"/>
            </a:ext>
          </a:extLst>
        </xdr:cNvPr>
        <xdr:cNvSpPr txBox="1"/>
      </xdr:nvSpPr>
      <xdr:spPr>
        <a:xfrm>
          <a:off x="15013117" y="2155082"/>
          <a:ext cx="1706095" cy="24720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64E5DC42-1293-4E6B-BFB5-959D1BDF4669}" type="TxLink">
            <a:rPr lang="en-US" sz="900" b="1" i="1" u="none" strike="noStrike">
              <a:solidFill>
                <a:sysClr val="windowText" lastClr="000000"/>
              </a:solidFill>
              <a:latin typeface="Calibri"/>
              <a:ea typeface="Calibri"/>
              <a:cs typeface="Calibri"/>
            </a:rPr>
            <a:pPr marL="0" indent="0" algn="ctr"/>
            <a:t>Total S3 = 906 USD/tLSFOeq</a:t>
          </a:fld>
          <a:endParaRPr lang="en-US" sz="900" b="1" i="1" u="none" strike="noStrike">
            <a:solidFill>
              <a:sysClr val="windowText" lastClr="000000"/>
            </a:solidFill>
            <a:latin typeface="Calibri"/>
            <a:ea typeface="Calibri"/>
            <a:cs typeface="Calibri"/>
          </a:endParaRPr>
        </a:p>
      </xdr:txBody>
    </xdr:sp>
    <xdr:clientData/>
  </xdr:twoCellAnchor>
  <xdr:twoCellAnchor>
    <xdr:from>
      <xdr:col>11</xdr:col>
      <xdr:colOff>455165</xdr:colOff>
      <xdr:row>5</xdr:row>
      <xdr:rowOff>112605</xdr:rowOff>
    </xdr:from>
    <xdr:to>
      <xdr:col>13</xdr:col>
      <xdr:colOff>226191</xdr:colOff>
      <xdr:row>5</xdr:row>
      <xdr:rowOff>349012</xdr:rowOff>
    </xdr:to>
    <xdr:sp macro="" textlink="$P$54">
      <xdr:nvSpPr>
        <xdr:cNvPr id="10" name="TextBox 9">
          <a:extLst>
            <a:ext uri="{FF2B5EF4-FFF2-40B4-BE49-F238E27FC236}">
              <a16:creationId xmlns:a16="http://schemas.microsoft.com/office/drawing/2014/main" id="{0F2B0E8E-869A-430A-8593-77CE13E547D3}"/>
            </a:ext>
          </a:extLst>
        </xdr:cNvPr>
        <xdr:cNvSpPr txBox="1"/>
      </xdr:nvSpPr>
      <xdr:spPr>
        <a:xfrm>
          <a:off x="17147728" y="2160480"/>
          <a:ext cx="1660151" cy="23640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F54D0391-41DB-44C1-86AD-73354E33A6FD}" type="TxLink">
            <a:rPr lang="en-US" sz="900" b="1" i="1" u="none" strike="noStrike">
              <a:solidFill>
                <a:sysClr val="windowText" lastClr="000000"/>
              </a:solidFill>
              <a:latin typeface="Calibri"/>
              <a:ea typeface="Calibri"/>
              <a:cs typeface="Calibri"/>
            </a:rPr>
            <a:pPr marL="0" indent="0" algn="ctr"/>
            <a:t>Total S4 = 794 USD/tLSFOeq</a:t>
          </a:fld>
          <a:endParaRPr lang="en-US" sz="900" b="1" i="1" u="none" strike="noStrike">
            <a:solidFill>
              <a:sysClr val="windowText" lastClr="000000"/>
            </a:solidFill>
            <a:latin typeface="Calibri"/>
            <a:ea typeface="Calibri"/>
            <a:cs typeface="Calibri"/>
          </a:endParaRPr>
        </a:p>
      </xdr:txBody>
    </xdr:sp>
    <xdr:clientData/>
  </xdr:twoCellAnchor>
  <xdr:twoCellAnchor editAs="oneCell">
    <xdr:from>
      <xdr:col>6</xdr:col>
      <xdr:colOff>813501</xdr:colOff>
      <xdr:row>2</xdr:row>
      <xdr:rowOff>551190</xdr:rowOff>
    </xdr:from>
    <xdr:to>
      <xdr:col>6</xdr:col>
      <xdr:colOff>1600976</xdr:colOff>
      <xdr:row>3</xdr:row>
      <xdr:rowOff>530690</xdr:rowOff>
    </xdr:to>
    <xdr:pic>
      <xdr:nvPicPr>
        <xdr:cNvPr id="11" name="Picture 10">
          <a:extLst>
            <a:ext uri="{FF2B5EF4-FFF2-40B4-BE49-F238E27FC236}">
              <a16:creationId xmlns:a16="http://schemas.microsoft.com/office/drawing/2014/main" id="{A3ED5F58-48EA-4249-A5B6-9B027BE4DEB5}"/>
            </a:ext>
          </a:extLst>
        </xdr:cNvPr>
        <xdr:cNvPicPr>
          <a:picLocks noChangeAspect="1"/>
        </xdr:cNvPicPr>
      </xdr:nvPicPr>
      <xdr:blipFill>
        <a:blip xmlns:r="http://schemas.openxmlformats.org/officeDocument/2006/relationships" r:embed="rId6"/>
        <a:stretch>
          <a:fillRect/>
        </a:stretch>
      </xdr:blipFill>
      <xdr:spPr>
        <a:xfrm>
          <a:off x="11322751" y="1186190"/>
          <a:ext cx="787475" cy="587513"/>
        </a:xfrm>
        <a:prstGeom prst="rect">
          <a:avLst/>
        </a:prstGeom>
      </xdr:spPr>
    </xdr:pic>
    <xdr:clientData/>
  </xdr:twoCellAnchor>
  <xdr:twoCellAnchor editAs="oneCell">
    <xdr:from>
      <xdr:col>7</xdr:col>
      <xdr:colOff>475538</xdr:colOff>
      <xdr:row>2</xdr:row>
      <xdr:rowOff>541081</xdr:rowOff>
    </xdr:from>
    <xdr:to>
      <xdr:col>8</xdr:col>
      <xdr:colOff>474596</xdr:colOff>
      <xdr:row>3</xdr:row>
      <xdr:rowOff>550324</xdr:rowOff>
    </xdr:to>
    <xdr:pic>
      <xdr:nvPicPr>
        <xdr:cNvPr id="12" name="Picture 11">
          <a:extLst>
            <a:ext uri="{FF2B5EF4-FFF2-40B4-BE49-F238E27FC236}">
              <a16:creationId xmlns:a16="http://schemas.microsoft.com/office/drawing/2014/main" id="{A45E0547-15D2-4C71-8064-1FB68473AB37}"/>
            </a:ext>
          </a:extLst>
        </xdr:cNvPr>
        <xdr:cNvPicPr>
          <a:picLocks noChangeAspect="1"/>
        </xdr:cNvPicPr>
      </xdr:nvPicPr>
      <xdr:blipFill>
        <a:blip xmlns:r="http://schemas.openxmlformats.org/officeDocument/2006/relationships" r:embed="rId7"/>
        <a:stretch>
          <a:fillRect/>
        </a:stretch>
      </xdr:blipFill>
      <xdr:spPr>
        <a:xfrm>
          <a:off x="13373976" y="1176081"/>
          <a:ext cx="795983" cy="607731"/>
        </a:xfrm>
        <a:prstGeom prst="rect">
          <a:avLst/>
        </a:prstGeom>
      </xdr:spPr>
    </xdr:pic>
    <xdr:clientData/>
  </xdr:twoCellAnchor>
  <xdr:twoCellAnchor editAs="oneCell">
    <xdr:from>
      <xdr:col>9</xdr:col>
      <xdr:colOff>660044</xdr:colOff>
      <xdr:row>2</xdr:row>
      <xdr:rowOff>569741</xdr:rowOff>
    </xdr:from>
    <xdr:to>
      <xdr:col>10</xdr:col>
      <xdr:colOff>492889</xdr:colOff>
      <xdr:row>3</xdr:row>
      <xdr:rowOff>512138</xdr:rowOff>
    </xdr:to>
    <xdr:pic>
      <xdr:nvPicPr>
        <xdr:cNvPr id="13" name="Picture 12">
          <a:extLst>
            <a:ext uri="{FF2B5EF4-FFF2-40B4-BE49-F238E27FC236}">
              <a16:creationId xmlns:a16="http://schemas.microsoft.com/office/drawing/2014/main" id="{39E231EE-48FF-41A8-9645-1F8214A681CF}"/>
            </a:ext>
          </a:extLst>
        </xdr:cNvPr>
        <xdr:cNvPicPr>
          <a:picLocks noChangeAspect="1"/>
        </xdr:cNvPicPr>
      </xdr:nvPicPr>
      <xdr:blipFill>
        <a:blip xmlns:r="http://schemas.openxmlformats.org/officeDocument/2006/relationships" r:embed="rId8"/>
        <a:stretch>
          <a:fillRect/>
        </a:stretch>
      </xdr:blipFill>
      <xdr:spPr>
        <a:xfrm>
          <a:off x="15463482" y="1204741"/>
          <a:ext cx="774232" cy="550410"/>
        </a:xfrm>
        <a:prstGeom prst="rect">
          <a:avLst/>
        </a:prstGeom>
      </xdr:spPr>
    </xdr:pic>
    <xdr:clientData/>
  </xdr:twoCellAnchor>
  <xdr:twoCellAnchor editAs="oneCell">
    <xdr:from>
      <xdr:col>11</xdr:col>
      <xdr:colOff>881795</xdr:colOff>
      <xdr:row>2</xdr:row>
      <xdr:rowOff>556115</xdr:rowOff>
    </xdr:from>
    <xdr:to>
      <xdr:col>12</xdr:col>
      <xdr:colOff>739955</xdr:colOff>
      <xdr:row>3</xdr:row>
      <xdr:rowOff>528939</xdr:rowOff>
    </xdr:to>
    <xdr:pic>
      <xdr:nvPicPr>
        <xdr:cNvPr id="14" name="Picture 13">
          <a:extLst>
            <a:ext uri="{FF2B5EF4-FFF2-40B4-BE49-F238E27FC236}">
              <a16:creationId xmlns:a16="http://schemas.microsoft.com/office/drawing/2014/main" id="{8F74CCD0-A2A9-4373-A3D9-CDBCC669DB86}"/>
            </a:ext>
          </a:extLst>
        </xdr:cNvPr>
        <xdr:cNvPicPr>
          <a:picLocks noChangeAspect="1"/>
        </xdr:cNvPicPr>
      </xdr:nvPicPr>
      <xdr:blipFill>
        <a:blip xmlns:r="http://schemas.openxmlformats.org/officeDocument/2006/relationships" r:embed="rId9"/>
        <a:stretch>
          <a:fillRect/>
        </a:stretch>
      </xdr:blipFill>
      <xdr:spPr>
        <a:xfrm>
          <a:off x="17574358" y="1191115"/>
          <a:ext cx="796372" cy="577662"/>
        </a:xfrm>
        <a:prstGeom prst="rect">
          <a:avLst/>
        </a:prstGeom>
      </xdr:spPr>
    </xdr:pic>
    <xdr:clientData/>
  </xdr:twoCellAnchor>
  <xdr:twoCellAnchor editAs="oneCell">
    <xdr:from>
      <xdr:col>6</xdr:col>
      <xdr:colOff>710731</xdr:colOff>
      <xdr:row>14</xdr:row>
      <xdr:rowOff>201085</xdr:rowOff>
    </xdr:from>
    <xdr:to>
      <xdr:col>6</xdr:col>
      <xdr:colOff>1254679</xdr:colOff>
      <xdr:row>16</xdr:row>
      <xdr:rowOff>114954</xdr:rowOff>
    </xdr:to>
    <xdr:pic>
      <xdr:nvPicPr>
        <xdr:cNvPr id="15" name="Picture 14">
          <a:extLst>
            <a:ext uri="{FF2B5EF4-FFF2-40B4-BE49-F238E27FC236}">
              <a16:creationId xmlns:a16="http://schemas.microsoft.com/office/drawing/2014/main" id="{37B26A66-67C4-425B-BD54-B921F054C657}"/>
            </a:ext>
          </a:extLst>
        </xdr:cNvPr>
        <xdr:cNvPicPr>
          <a:picLocks noChangeAspect="1"/>
        </xdr:cNvPicPr>
      </xdr:nvPicPr>
      <xdr:blipFill>
        <a:blip xmlns:r="http://schemas.openxmlformats.org/officeDocument/2006/relationships" r:embed="rId7"/>
        <a:stretch>
          <a:fillRect/>
        </a:stretch>
      </xdr:blipFill>
      <xdr:spPr>
        <a:xfrm>
          <a:off x="11198814" y="7387168"/>
          <a:ext cx="540773" cy="400703"/>
        </a:xfrm>
        <a:prstGeom prst="rect">
          <a:avLst/>
        </a:prstGeom>
      </xdr:spPr>
    </xdr:pic>
    <xdr:clientData/>
  </xdr:twoCellAnchor>
  <xdr:twoCellAnchor editAs="oneCell">
    <xdr:from>
      <xdr:col>6</xdr:col>
      <xdr:colOff>704995</xdr:colOff>
      <xdr:row>16</xdr:row>
      <xdr:rowOff>355510</xdr:rowOff>
    </xdr:from>
    <xdr:to>
      <xdr:col>6</xdr:col>
      <xdr:colOff>1257240</xdr:colOff>
      <xdr:row>16</xdr:row>
      <xdr:rowOff>722049</xdr:rowOff>
    </xdr:to>
    <xdr:pic>
      <xdr:nvPicPr>
        <xdr:cNvPr id="16" name="Picture 15">
          <a:extLst>
            <a:ext uri="{FF2B5EF4-FFF2-40B4-BE49-F238E27FC236}">
              <a16:creationId xmlns:a16="http://schemas.microsoft.com/office/drawing/2014/main" id="{448B60C2-644F-4A93-845F-AFE9CFB5ACA7}"/>
            </a:ext>
          </a:extLst>
        </xdr:cNvPr>
        <xdr:cNvPicPr>
          <a:picLocks noChangeAspect="1"/>
        </xdr:cNvPicPr>
      </xdr:nvPicPr>
      <xdr:blipFill>
        <a:blip xmlns:r="http://schemas.openxmlformats.org/officeDocument/2006/relationships" r:embed="rId8"/>
        <a:stretch>
          <a:fillRect/>
        </a:stretch>
      </xdr:blipFill>
      <xdr:spPr>
        <a:xfrm>
          <a:off x="11193078" y="7827343"/>
          <a:ext cx="552245" cy="360189"/>
        </a:xfrm>
        <a:prstGeom prst="rect">
          <a:avLst/>
        </a:prstGeom>
      </xdr:spPr>
    </xdr:pic>
    <xdr:clientData/>
  </xdr:twoCellAnchor>
  <xdr:twoCellAnchor editAs="oneCell">
    <xdr:from>
      <xdr:col>6</xdr:col>
      <xdr:colOff>725469</xdr:colOff>
      <xdr:row>16</xdr:row>
      <xdr:rowOff>656208</xdr:rowOff>
    </xdr:from>
    <xdr:to>
      <xdr:col>6</xdr:col>
      <xdr:colOff>1236765</xdr:colOff>
      <xdr:row>16</xdr:row>
      <xdr:rowOff>1025762</xdr:rowOff>
    </xdr:to>
    <xdr:pic>
      <xdr:nvPicPr>
        <xdr:cNvPr id="17" name="Picture 16">
          <a:extLst>
            <a:ext uri="{FF2B5EF4-FFF2-40B4-BE49-F238E27FC236}">
              <a16:creationId xmlns:a16="http://schemas.microsoft.com/office/drawing/2014/main" id="{54F0802F-7B6C-4E84-9585-EDFBB4A35046}"/>
            </a:ext>
          </a:extLst>
        </xdr:cNvPr>
        <xdr:cNvPicPr>
          <a:picLocks noChangeAspect="1"/>
        </xdr:cNvPicPr>
      </xdr:nvPicPr>
      <xdr:blipFill>
        <a:blip xmlns:r="http://schemas.openxmlformats.org/officeDocument/2006/relationships" r:embed="rId9"/>
        <a:stretch>
          <a:fillRect/>
        </a:stretch>
      </xdr:blipFill>
      <xdr:spPr>
        <a:xfrm>
          <a:off x="11213552" y="8128041"/>
          <a:ext cx="511296" cy="369554"/>
        </a:xfrm>
        <a:prstGeom prst="rect">
          <a:avLst/>
        </a:prstGeom>
      </xdr:spPr>
    </xdr:pic>
    <xdr:clientData/>
  </xdr:twoCellAnchor>
  <xdr:twoCellAnchor editAs="oneCell">
    <xdr:from>
      <xdr:col>6</xdr:col>
      <xdr:colOff>716946</xdr:colOff>
      <xdr:row>16</xdr:row>
      <xdr:rowOff>47626</xdr:rowOff>
    </xdr:from>
    <xdr:to>
      <xdr:col>6</xdr:col>
      <xdr:colOff>1254813</xdr:colOff>
      <xdr:row>16</xdr:row>
      <xdr:rowOff>434367</xdr:rowOff>
    </xdr:to>
    <xdr:pic>
      <xdr:nvPicPr>
        <xdr:cNvPr id="18" name="Picture 17">
          <a:extLst>
            <a:ext uri="{FF2B5EF4-FFF2-40B4-BE49-F238E27FC236}">
              <a16:creationId xmlns:a16="http://schemas.microsoft.com/office/drawing/2014/main" id="{3715A2FC-8A8E-4B04-9FDE-8F7F5D26E9F0}"/>
            </a:ext>
          </a:extLst>
        </xdr:cNvPr>
        <xdr:cNvPicPr>
          <a:picLocks noChangeAspect="1"/>
        </xdr:cNvPicPr>
      </xdr:nvPicPr>
      <xdr:blipFill>
        <a:blip xmlns:r="http://schemas.openxmlformats.org/officeDocument/2006/relationships" r:embed="rId6"/>
        <a:stretch>
          <a:fillRect/>
        </a:stretch>
      </xdr:blipFill>
      <xdr:spPr>
        <a:xfrm>
          <a:off x="11205029" y="7519459"/>
          <a:ext cx="528342" cy="380391"/>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0.24139</cdr:x>
      <cdr:y>0.09119</cdr:y>
    </cdr:from>
    <cdr:to>
      <cdr:x>0.74366</cdr:x>
      <cdr:y>0.17498</cdr:y>
    </cdr:to>
    <cdr:sp macro="" textlink="">
      <cdr:nvSpPr>
        <cdr:cNvPr id="2" name="TextBox 1">
          <a:extLst xmlns:a="http://schemas.openxmlformats.org/drawingml/2006/main">
            <a:ext uri="{FF2B5EF4-FFF2-40B4-BE49-F238E27FC236}">
              <a16:creationId xmlns:a16="http://schemas.microsoft.com/office/drawing/2014/main" id="{CCD37E44-25E3-6583-E456-85AFB4871C20}"/>
            </a:ext>
          </a:extLst>
        </cdr:cNvPr>
        <cdr:cNvSpPr txBox="1"/>
      </cdr:nvSpPr>
      <cdr:spPr>
        <a:xfrm xmlns:a="http://schemas.openxmlformats.org/drawingml/2006/main">
          <a:off x="486861" y="478077"/>
          <a:ext cx="1013012" cy="439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kern="1200"/>
        </a:p>
      </cdr:txBody>
    </cdr:sp>
  </cdr:relSizeAnchor>
  <cdr:relSizeAnchor xmlns:cdr="http://schemas.openxmlformats.org/drawingml/2006/chartDrawing">
    <cdr:from>
      <cdr:x>0.21917</cdr:x>
      <cdr:y>0.09632</cdr:y>
    </cdr:from>
    <cdr:to>
      <cdr:x>0.73032</cdr:x>
      <cdr:y>0.15617</cdr:y>
    </cdr:to>
    <cdr:sp macro="" textlink="">
      <cdr:nvSpPr>
        <cdr:cNvPr id="3" name="TextBox 2">
          <a:extLst xmlns:a="http://schemas.openxmlformats.org/drawingml/2006/main">
            <a:ext uri="{FF2B5EF4-FFF2-40B4-BE49-F238E27FC236}">
              <a16:creationId xmlns:a16="http://schemas.microsoft.com/office/drawing/2014/main" id="{CCFB5738-2229-743C-76DA-FD1DAE724408}"/>
            </a:ext>
          </a:extLst>
        </cdr:cNvPr>
        <cdr:cNvSpPr txBox="1"/>
      </cdr:nvSpPr>
      <cdr:spPr>
        <a:xfrm xmlns:a="http://schemas.openxmlformats.org/drawingml/2006/main">
          <a:off x="442037" y="504971"/>
          <a:ext cx="1030941" cy="3137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kern="1200"/>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567230</xdr:colOff>
      <xdr:row>143</xdr:row>
      <xdr:rowOff>0</xdr:rowOff>
    </xdr:from>
    <xdr:to>
      <xdr:col>5</xdr:col>
      <xdr:colOff>1116505</xdr:colOff>
      <xdr:row>143</xdr:row>
      <xdr:rowOff>0</xdr:rowOff>
    </xdr:to>
    <xdr:sp macro="" textlink="">
      <xdr:nvSpPr>
        <xdr:cNvPr id="2" name="Arrow: Right 1">
          <a:extLst>
            <a:ext uri="{FF2B5EF4-FFF2-40B4-BE49-F238E27FC236}">
              <a16:creationId xmlns:a16="http://schemas.microsoft.com/office/drawing/2014/main" id="{0348FBC0-253B-4AD1-97C3-EA1DF0430547}"/>
            </a:ext>
          </a:extLst>
        </xdr:cNvPr>
        <xdr:cNvSpPr/>
      </xdr:nvSpPr>
      <xdr:spPr>
        <a:xfrm>
          <a:off x="8942880" y="33305750"/>
          <a:ext cx="54927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567230</xdr:colOff>
      <xdr:row>138</xdr:row>
      <xdr:rowOff>0</xdr:rowOff>
    </xdr:from>
    <xdr:to>
      <xdr:col>5</xdr:col>
      <xdr:colOff>1116505</xdr:colOff>
      <xdr:row>138</xdr:row>
      <xdr:rowOff>0</xdr:rowOff>
    </xdr:to>
    <xdr:sp macro="" textlink="">
      <xdr:nvSpPr>
        <xdr:cNvPr id="3" name="Arrow: Right 2">
          <a:extLst>
            <a:ext uri="{FF2B5EF4-FFF2-40B4-BE49-F238E27FC236}">
              <a16:creationId xmlns:a16="http://schemas.microsoft.com/office/drawing/2014/main" id="{6CA33ED6-7EEA-4F66-BDC1-A68866C88EB6}"/>
            </a:ext>
          </a:extLst>
        </xdr:cNvPr>
        <xdr:cNvSpPr/>
      </xdr:nvSpPr>
      <xdr:spPr>
        <a:xfrm>
          <a:off x="8942880" y="32385000"/>
          <a:ext cx="54927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567230</xdr:colOff>
      <xdr:row>184</xdr:row>
      <xdr:rowOff>0</xdr:rowOff>
    </xdr:from>
    <xdr:to>
      <xdr:col>5</xdr:col>
      <xdr:colOff>1116505</xdr:colOff>
      <xdr:row>184</xdr:row>
      <xdr:rowOff>0</xdr:rowOff>
    </xdr:to>
    <xdr:sp macro="" textlink="">
      <xdr:nvSpPr>
        <xdr:cNvPr id="4" name="Arrow: Right 3">
          <a:extLst>
            <a:ext uri="{FF2B5EF4-FFF2-40B4-BE49-F238E27FC236}">
              <a16:creationId xmlns:a16="http://schemas.microsoft.com/office/drawing/2014/main" id="{F1B51CB1-D580-4E54-8B8D-EFFA829A8166}"/>
            </a:ext>
          </a:extLst>
        </xdr:cNvPr>
        <xdr:cNvSpPr/>
      </xdr:nvSpPr>
      <xdr:spPr>
        <a:xfrm>
          <a:off x="8942880" y="40855900"/>
          <a:ext cx="54927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567230</xdr:colOff>
      <xdr:row>105</xdr:row>
      <xdr:rowOff>19050</xdr:rowOff>
    </xdr:from>
    <xdr:to>
      <xdr:col>1</xdr:col>
      <xdr:colOff>1116505</xdr:colOff>
      <xdr:row>105</xdr:row>
      <xdr:rowOff>19050</xdr:rowOff>
    </xdr:to>
    <xdr:sp macro="" textlink="">
      <xdr:nvSpPr>
        <xdr:cNvPr id="5" name="Arrow: Right 4">
          <a:extLst>
            <a:ext uri="{FF2B5EF4-FFF2-40B4-BE49-F238E27FC236}">
              <a16:creationId xmlns:a16="http://schemas.microsoft.com/office/drawing/2014/main" id="{C3393E5A-8A9F-474C-B85C-55B2291420A7}"/>
            </a:ext>
          </a:extLst>
        </xdr:cNvPr>
        <xdr:cNvSpPr/>
      </xdr:nvSpPr>
      <xdr:spPr>
        <a:xfrm>
          <a:off x="1176830" y="25577800"/>
          <a:ext cx="4762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344487</xdr:colOff>
      <xdr:row>2</xdr:row>
      <xdr:rowOff>161924</xdr:rowOff>
    </xdr:from>
    <xdr:to>
      <xdr:col>24</xdr:col>
      <xdr:colOff>495300</xdr:colOff>
      <xdr:row>28</xdr:row>
      <xdr:rowOff>171450</xdr:rowOff>
    </xdr:to>
    <xdr:graphicFrame macro="">
      <xdr:nvGraphicFramePr>
        <xdr:cNvPr id="41" name="Chart 7">
          <a:extLst>
            <a:ext uri="{FF2B5EF4-FFF2-40B4-BE49-F238E27FC236}">
              <a16:creationId xmlns:a16="http://schemas.microsoft.com/office/drawing/2014/main" id="{48A82E76-FFF3-466F-9021-9D26393E38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zerocarbonshipping.sharepoint.com/sites/40033/Delte%20dokumenter/General/1%20Working%20documents/2%20Value%20Prop%20-%20Case%20study%20data%20and%20modeling/Participants/Hapag%20Lloyd/HL%20Model/Hapag%20Lloyd%20FuelEU%20Impact%20Model.xlsx" TargetMode="External"/><Relationship Id="rId1" Type="http://schemas.openxmlformats.org/officeDocument/2006/relationships/externalLinkPath" Target="file:///\\sites\40033\Delte%2520dokumenter\General\1%2520Working%2520documents\2%2520Value%2520Prop%2520-%2520Case%2520study%2520data%2520and%2520modeling\Participants\Hapag%2520Lloyd\HL%2520Model\Hapag%2520Lloyd%2520FuelEU%2520Impact%25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L Results"/>
      <sheetName val="FuelCost"/>
      <sheetName val="Results"/>
      <sheetName val="RouteAssessment"/>
      <sheetName val="FuelEUCost"/>
      <sheetName val="FuelEUPoolingv2"/>
      <sheetName val="ETS"/>
      <sheetName val="IRACredits"/>
      <sheetName val="GHG Factors"/>
      <sheetName val="GHG Factors (2)"/>
      <sheetName val="Multiplier Analysis"/>
      <sheetName val="ETS Analysis"/>
      <sheetName val="Scratch"/>
      <sheetName val="Voyages"/>
      <sheetName val="EnergyTransition"/>
      <sheetName val="Glossary"/>
      <sheetName val="Drop-Downs"/>
      <sheetName val="FuelDefinitions"/>
      <sheetName val="Questions and ToDo"/>
      <sheetName val="Gut Check"/>
      <sheetName val="Interaction"/>
      <sheetName val="FROM TMA"/>
      <sheetName val="OLDFuelEUPooling"/>
      <sheetName val="OLD Ammonia Analysis"/>
      <sheetName val="OLD GHG Factors"/>
      <sheetName val="OLD_CAPEX Calculation"/>
    </sheetNames>
    <sheetDataSet>
      <sheetData sheetId="0"/>
      <sheetData sheetId="1">
        <row r="6">
          <cell r="D6" t="str">
            <v>Lookup</v>
          </cell>
        </row>
      </sheetData>
      <sheetData sheetId="2">
        <row r="26">
          <cell r="C26" t="str">
            <v>Europe</v>
          </cell>
        </row>
      </sheetData>
      <sheetData sheetId="3" refreshError="1"/>
      <sheetData sheetId="4"/>
      <sheetData sheetId="5"/>
      <sheetData sheetId="6"/>
      <sheetData sheetId="7"/>
      <sheetData sheetId="8">
        <row r="7">
          <cell r="C7" t="str">
            <v>Fuel</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zerocarbonshipping.com/cost-calculator/" TargetMode="External"/><Relationship Id="rId2" Type="http://schemas.openxmlformats.org/officeDocument/2006/relationships/hyperlink" Target="https://www.zerocarbonshipping.com/cost-calculator/" TargetMode="External"/><Relationship Id="rId1" Type="http://schemas.openxmlformats.org/officeDocument/2006/relationships/hyperlink" Target="https://www.lr.org/en/knowledge/research-reports/techno-economic-assessment-of-zero-carbon-fuel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zerocarbonshipping.com/guide-to-the-imo-mid-term-measur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lr.org/en/knowledge/research-reports/techno-economic-assessment-of-zero-carbon-fuels/" TargetMode="External"/><Relationship Id="rId13" Type="http://schemas.openxmlformats.org/officeDocument/2006/relationships/hyperlink" Target="https://www.zerocarbonshipping.com/cost-calculator/?s=0" TargetMode="External"/><Relationship Id="rId3" Type="http://schemas.openxmlformats.org/officeDocument/2006/relationships/hyperlink" Target="https://www.zerocarbonshipping.com/cost-calculator/" TargetMode="External"/><Relationship Id="rId7" Type="http://schemas.openxmlformats.org/officeDocument/2006/relationships/hyperlink" Target="https://www.lr.org/en/knowledge/research-reports/techno-economic-assessment-of-zero-carbon-fuels/" TargetMode="External"/><Relationship Id="rId12" Type="http://schemas.openxmlformats.org/officeDocument/2006/relationships/hyperlink" Target="https://wwwcdn.imo.org/localresources/en/OurWork/Environment/Documents/annex/MEPC%2081/Annex%2010.pdf" TargetMode="External"/><Relationship Id="rId2" Type="http://schemas.openxmlformats.org/officeDocument/2006/relationships/hyperlink" Target="https://www.zerocarbonshipping.com/cost-calculator/?s=0" TargetMode="External"/><Relationship Id="rId1" Type="http://schemas.openxmlformats.org/officeDocument/2006/relationships/hyperlink" Target="https://www.imo.org/en/OurWork/Environment/Pages/Assessment-of-impacts-on-States.aspx" TargetMode="External"/><Relationship Id="rId6" Type="http://schemas.openxmlformats.org/officeDocument/2006/relationships/hyperlink" Target="https://www.lr.org/en/knowledge/research-reports/techno-economic-assessment-of-zero-carbon-fuels/" TargetMode="External"/><Relationship Id="rId11" Type="http://schemas.openxmlformats.org/officeDocument/2006/relationships/hyperlink" Target="https://www.zerocarbonshipping.com/cost-calculator/?s=0" TargetMode="External"/><Relationship Id="rId5" Type="http://schemas.openxmlformats.org/officeDocument/2006/relationships/hyperlink" Target="https://www.zerocarbonshipping.com/cost-calculator/" TargetMode="External"/><Relationship Id="rId10" Type="http://schemas.openxmlformats.org/officeDocument/2006/relationships/hyperlink" Target="https://wwwcdn.imo.org/localresources/en/OurWork/Environment/Documents/annex/MEPC%2081/Annex%2010.pdf" TargetMode="External"/><Relationship Id="rId4" Type="http://schemas.openxmlformats.org/officeDocument/2006/relationships/hyperlink" Target="https://www.zerocarbonshipping.com/cost-calculator/" TargetMode="External"/><Relationship Id="rId9" Type="http://schemas.openxmlformats.org/officeDocument/2006/relationships/hyperlink" Target="https://www.imo.org/en/OurWork/Environment/Pages/Assessment-of-impacts-on-States.asp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08484-F82A-4B3A-BF67-779135659CF3}">
  <sheetPr>
    <tabColor rgb="FF5E948A"/>
  </sheetPr>
  <dimension ref="A1:AV67"/>
  <sheetViews>
    <sheetView showGridLines="0" tabSelected="1" zoomScale="115" zoomScaleNormal="115" workbookViewId="0">
      <selection activeCell="C17" sqref="C17"/>
    </sheetView>
  </sheetViews>
  <sheetFormatPr defaultColWidth="8.85546875" defaultRowHeight="15" x14ac:dyDescent="0.25"/>
  <cols>
    <col min="1" max="1" width="3.85546875" style="13" customWidth="1"/>
    <col min="2" max="2" width="44.42578125" style="14" customWidth="1"/>
    <col min="3" max="3" width="32" style="12" customWidth="1"/>
    <col min="4" max="5" width="32.140625" style="13" customWidth="1"/>
    <col min="6" max="6" width="5.85546875" style="13" customWidth="1"/>
    <col min="7" max="7" width="34.140625" style="13" customWidth="1"/>
    <col min="8" max="8" width="11.5703125" style="13" customWidth="1"/>
    <col min="9" max="9" width="15.7109375" style="13" customWidth="1"/>
    <col min="10" max="13" width="13.5703125" style="13" customWidth="1"/>
    <col min="14" max="14" width="11.85546875" style="13" customWidth="1"/>
    <col min="15" max="18" width="13.5703125" style="13" customWidth="1"/>
    <col min="19" max="22" width="13.85546875" style="13" customWidth="1"/>
    <col min="23" max="26" width="13.140625" style="13" customWidth="1"/>
    <col min="27" max="27" width="13.5703125" style="13" customWidth="1"/>
    <col min="28" max="28" width="13.140625" style="13" customWidth="1"/>
    <col min="29" max="31" width="13.5703125" style="13" customWidth="1"/>
    <col min="32" max="32" width="10.85546875" style="13" bestFit="1" customWidth="1"/>
    <col min="33" max="33" width="11.85546875" style="13" bestFit="1" customWidth="1"/>
    <col min="34" max="38" width="10.85546875" style="13" bestFit="1" customWidth="1"/>
    <col min="39" max="16384" width="8.85546875" style="13"/>
  </cols>
  <sheetData>
    <row r="1" spans="1:31" x14ac:dyDescent="0.25">
      <c r="A1" s="49"/>
      <c r="B1" s="152" t="s">
        <v>0</v>
      </c>
      <c r="C1" s="50"/>
      <c r="D1" s="49"/>
      <c r="E1" s="49"/>
      <c r="F1" s="49"/>
      <c r="G1" s="2"/>
      <c r="H1" s="2"/>
      <c r="I1" s="2"/>
      <c r="J1" s="2"/>
      <c r="K1" s="2"/>
      <c r="L1" s="2"/>
      <c r="M1" s="2"/>
      <c r="N1" s="2"/>
      <c r="O1" s="2"/>
      <c r="P1" s="2"/>
      <c r="Q1" s="2"/>
      <c r="R1" s="2"/>
      <c r="S1" s="53"/>
      <c r="T1" s="53"/>
      <c r="U1" s="53"/>
      <c r="V1" s="53"/>
      <c r="W1" s="53"/>
      <c r="X1" s="53"/>
      <c r="Y1" s="53"/>
      <c r="Z1" s="53"/>
      <c r="AA1" s="53"/>
      <c r="AB1" s="53"/>
      <c r="AC1" s="53"/>
      <c r="AD1" s="53"/>
      <c r="AE1" s="55"/>
    </row>
    <row r="2" spans="1:31" ht="35.450000000000003" customHeight="1" thickBot="1" x14ac:dyDescent="0.3">
      <c r="A2" s="47"/>
      <c r="B2" s="153" t="s">
        <v>1</v>
      </c>
      <c r="C2" s="48"/>
      <c r="D2" s="48"/>
      <c r="E2" s="48"/>
      <c r="F2" s="48"/>
      <c r="G2" s="52" t="s">
        <v>2</v>
      </c>
      <c r="H2" s="2"/>
      <c r="I2" s="2"/>
      <c r="J2" s="2"/>
      <c r="K2" s="2"/>
      <c r="L2" s="2"/>
      <c r="M2" s="2"/>
      <c r="N2" s="2"/>
      <c r="O2" s="2"/>
      <c r="P2" s="2"/>
      <c r="Q2" s="2"/>
      <c r="R2" s="2"/>
      <c r="S2" s="53"/>
      <c r="T2" s="53"/>
      <c r="U2" s="53"/>
      <c r="V2" s="53"/>
      <c r="W2" s="53"/>
      <c r="X2" s="53"/>
      <c r="Y2" s="53"/>
      <c r="Z2" s="53"/>
      <c r="AA2" s="53"/>
      <c r="AB2" s="53"/>
      <c r="AC2" s="53"/>
      <c r="AD2" s="54"/>
      <c r="AE2" s="55"/>
    </row>
    <row r="3" spans="1:31" ht="48" customHeight="1" thickTop="1" thickBot="1" x14ac:dyDescent="0.3">
      <c r="A3" s="46"/>
      <c r="B3" s="188" t="s">
        <v>3</v>
      </c>
      <c r="C3" s="188"/>
      <c r="D3" s="188"/>
      <c r="E3" s="188"/>
      <c r="F3" s="49"/>
      <c r="G3" s="166" t="s">
        <v>292</v>
      </c>
      <c r="H3" s="185">
        <v>2035</v>
      </c>
      <c r="I3" s="186"/>
      <c r="J3" s="187" t="s">
        <v>297</v>
      </c>
      <c r="K3" s="187"/>
      <c r="L3" s="187"/>
      <c r="M3" s="187"/>
      <c r="N3" s="2"/>
      <c r="O3" s="2"/>
      <c r="P3" s="2"/>
      <c r="Q3" s="2"/>
      <c r="R3" s="2"/>
      <c r="S3" s="53"/>
      <c r="T3" s="53"/>
      <c r="U3" s="53"/>
      <c r="V3" s="53"/>
      <c r="W3" s="53"/>
      <c r="X3" s="53"/>
      <c r="Y3" s="53"/>
      <c r="Z3" s="53"/>
      <c r="AA3" s="53"/>
      <c r="AB3" s="53"/>
      <c r="AC3" s="53"/>
      <c r="AD3" s="54"/>
      <c r="AE3" s="55"/>
    </row>
    <row r="4" spans="1:31" ht="44.45" customHeight="1" thickTop="1" x14ac:dyDescent="0.25">
      <c r="B4" s="182" t="s">
        <v>298</v>
      </c>
      <c r="C4" s="182"/>
      <c r="D4" s="182"/>
      <c r="E4" s="182"/>
      <c r="G4" s="2"/>
      <c r="H4" s="2"/>
      <c r="I4" s="2"/>
      <c r="J4" s="2"/>
      <c r="K4" s="2"/>
      <c r="L4" s="2"/>
      <c r="M4" s="2"/>
      <c r="N4" s="2"/>
      <c r="O4" s="2"/>
      <c r="P4" s="2"/>
      <c r="Q4" s="2"/>
      <c r="R4" s="2"/>
      <c r="S4" s="53"/>
      <c r="T4" s="53"/>
      <c r="U4" s="53"/>
      <c r="V4" s="53"/>
      <c r="W4" s="53"/>
      <c r="X4" s="53"/>
      <c r="Y4" s="53"/>
      <c r="Z4" s="53"/>
      <c r="AA4" s="53"/>
      <c r="AB4" s="53"/>
      <c r="AC4" s="53"/>
      <c r="AD4" s="54"/>
      <c r="AE4" s="55"/>
    </row>
    <row r="5" spans="1:31" ht="18.95" customHeight="1" x14ac:dyDescent="0.25">
      <c r="B5" s="189" t="s">
        <v>4</v>
      </c>
      <c r="C5" s="189"/>
      <c r="D5" s="189"/>
      <c r="E5" s="189"/>
      <c r="G5" s="2"/>
      <c r="H5" s="2"/>
      <c r="I5" s="2"/>
      <c r="J5" s="2"/>
      <c r="K5" s="2"/>
      <c r="L5" s="2"/>
      <c r="M5" s="2"/>
      <c r="N5" s="2"/>
      <c r="O5" s="2"/>
      <c r="P5" s="2"/>
      <c r="Q5" s="2"/>
      <c r="R5" s="2"/>
      <c r="S5" s="53"/>
      <c r="T5" s="53"/>
      <c r="U5" s="53"/>
      <c r="V5" s="53"/>
      <c r="W5" s="53"/>
      <c r="X5" s="53"/>
      <c r="Y5" s="53"/>
      <c r="Z5" s="53"/>
      <c r="AA5" s="53"/>
      <c r="AB5" s="53"/>
      <c r="AC5" s="53"/>
      <c r="AD5" s="54"/>
      <c r="AE5" s="55"/>
    </row>
    <row r="6" spans="1:31" ht="72" customHeight="1" x14ac:dyDescent="0.25">
      <c r="B6" s="182" t="s">
        <v>286</v>
      </c>
      <c r="C6" s="182"/>
      <c r="D6" s="182"/>
      <c r="E6" s="182"/>
      <c r="G6" s="2"/>
      <c r="H6" s="2"/>
      <c r="I6" s="2"/>
      <c r="J6" s="2"/>
      <c r="K6" s="2"/>
      <c r="L6" s="2"/>
      <c r="M6" s="2"/>
      <c r="N6" s="2"/>
      <c r="O6" s="2"/>
      <c r="P6" s="2"/>
      <c r="Q6" s="2"/>
      <c r="R6" s="2"/>
      <c r="S6" s="53"/>
      <c r="T6" s="53"/>
      <c r="U6" s="53"/>
      <c r="V6" s="53"/>
      <c r="W6" s="53"/>
      <c r="X6" s="53"/>
      <c r="Y6" s="53"/>
      <c r="Z6" s="53"/>
      <c r="AA6" s="53"/>
      <c r="AB6" s="53"/>
      <c r="AC6" s="53"/>
      <c r="AD6" s="53"/>
      <c r="AE6" s="55"/>
    </row>
    <row r="7" spans="1:31" ht="91.5" customHeight="1" x14ac:dyDescent="0.25">
      <c r="B7" s="182" t="s">
        <v>288</v>
      </c>
      <c r="C7" s="182"/>
      <c r="D7" s="182"/>
      <c r="E7" s="182"/>
      <c r="G7" s="2"/>
      <c r="H7" s="2"/>
      <c r="I7" s="2"/>
      <c r="J7" s="2"/>
      <c r="K7" s="2"/>
      <c r="L7" s="2"/>
      <c r="M7" s="2"/>
      <c r="N7" s="2"/>
      <c r="O7" s="2"/>
      <c r="P7" s="2"/>
      <c r="Q7" s="2"/>
      <c r="R7" s="2"/>
      <c r="S7" s="53"/>
      <c r="T7" s="53"/>
      <c r="U7" s="53"/>
      <c r="V7" s="53"/>
      <c r="W7" s="53"/>
      <c r="X7" s="53"/>
      <c r="Y7" s="53"/>
      <c r="Z7" s="53"/>
      <c r="AA7" s="53"/>
      <c r="AB7" s="53"/>
      <c r="AC7" s="53"/>
      <c r="AD7" s="53"/>
      <c r="AE7" s="55"/>
    </row>
    <row r="8" spans="1:31" ht="60" customHeight="1" x14ac:dyDescent="0.25">
      <c r="B8" s="182" t="s">
        <v>287</v>
      </c>
      <c r="C8" s="182"/>
      <c r="D8" s="182"/>
      <c r="E8" s="182"/>
      <c r="G8" s="2"/>
      <c r="H8" s="2"/>
      <c r="I8" s="2"/>
      <c r="J8" s="2"/>
      <c r="K8" s="2"/>
      <c r="L8" s="2"/>
      <c r="M8" s="2"/>
      <c r="N8" s="2"/>
      <c r="O8" s="2"/>
      <c r="P8" s="2"/>
      <c r="Q8" s="2"/>
      <c r="R8" s="2"/>
      <c r="S8" s="2"/>
      <c r="T8" s="53"/>
      <c r="U8" s="2"/>
      <c r="V8" s="53"/>
      <c r="W8" s="53"/>
      <c r="X8" s="53"/>
      <c r="Y8" s="53"/>
      <c r="Z8" s="53"/>
      <c r="AA8" s="53"/>
      <c r="AB8" s="53"/>
      <c r="AC8" s="53"/>
      <c r="AD8" s="53"/>
      <c r="AE8" s="55"/>
    </row>
    <row r="9" spans="1:31" ht="45.95" customHeight="1" x14ac:dyDescent="0.25">
      <c r="B9" s="183" t="s">
        <v>284</v>
      </c>
      <c r="C9" s="183"/>
      <c r="D9" s="183"/>
      <c r="E9" s="183"/>
      <c r="G9" s="2"/>
      <c r="H9" s="2"/>
      <c r="I9" s="2"/>
      <c r="J9" s="2"/>
      <c r="K9" s="2"/>
      <c r="L9" s="2"/>
      <c r="M9" s="2"/>
      <c r="N9" s="2"/>
      <c r="O9" s="2"/>
      <c r="P9" s="2"/>
      <c r="Q9" s="2"/>
      <c r="R9" s="2"/>
      <c r="S9" s="2"/>
      <c r="T9" s="53"/>
      <c r="U9" s="2"/>
      <c r="V9" s="53"/>
      <c r="W9" s="53"/>
      <c r="X9" s="53"/>
      <c r="Y9" s="53"/>
      <c r="Z9" s="53"/>
      <c r="AA9" s="53"/>
      <c r="AB9" s="53"/>
      <c r="AC9" s="53"/>
      <c r="AD9" s="53"/>
      <c r="AE9" s="55"/>
    </row>
    <row r="10" spans="1:31" ht="15.6" customHeight="1" x14ac:dyDescent="0.25">
      <c r="A10" s="11"/>
      <c r="B10" s="154"/>
      <c r="C10" s="44"/>
      <c r="D10" s="44"/>
      <c r="E10" s="44"/>
      <c r="F10" s="44"/>
      <c r="G10" s="2"/>
      <c r="H10" s="2"/>
      <c r="I10" s="2"/>
      <c r="J10" s="2"/>
      <c r="K10" s="2"/>
      <c r="L10" s="2"/>
      <c r="M10" s="2"/>
      <c r="N10" s="2"/>
      <c r="O10" s="2"/>
      <c r="P10" s="2"/>
      <c r="Q10" s="2"/>
      <c r="R10" s="2"/>
      <c r="S10" s="2"/>
      <c r="T10" s="53"/>
      <c r="U10" s="2"/>
      <c r="V10" s="53"/>
      <c r="W10" s="53"/>
      <c r="X10" s="53"/>
      <c r="Y10" s="53"/>
      <c r="Z10" s="53"/>
      <c r="AA10" s="53"/>
      <c r="AB10" s="53"/>
      <c r="AC10" s="53"/>
      <c r="AD10" s="53"/>
      <c r="AE10" s="55"/>
    </row>
    <row r="11" spans="1:31" ht="23.25" x14ac:dyDescent="0.25">
      <c r="A11" s="11"/>
      <c r="B11" s="155" t="s">
        <v>5</v>
      </c>
      <c r="C11" s="11"/>
      <c r="D11" s="11"/>
      <c r="E11" s="11"/>
      <c r="F11" s="11"/>
      <c r="G11" s="2"/>
      <c r="H11" s="2"/>
      <c r="I11" s="2"/>
      <c r="J11" s="2"/>
      <c r="K11" s="2"/>
      <c r="L11" s="2"/>
      <c r="M11" s="2"/>
      <c r="N11" s="2"/>
      <c r="O11" s="2"/>
      <c r="P11" s="2"/>
      <c r="Q11" s="2"/>
      <c r="R11" s="2"/>
      <c r="S11" s="2"/>
      <c r="T11" s="53"/>
      <c r="U11" s="2"/>
      <c r="V11" s="53"/>
      <c r="W11" s="53"/>
      <c r="X11" s="53"/>
      <c r="Y11" s="53"/>
      <c r="Z11" s="53"/>
      <c r="AA11" s="53"/>
      <c r="AB11" s="53"/>
      <c r="AC11" s="53"/>
      <c r="AD11" s="53"/>
      <c r="AE11" s="55"/>
    </row>
    <row r="12" spans="1:31" ht="18.75" x14ac:dyDescent="0.25">
      <c r="A12" s="11"/>
      <c r="B12" s="156" t="s">
        <v>6</v>
      </c>
      <c r="C12" s="3"/>
      <c r="D12" s="4" t="s">
        <v>7</v>
      </c>
      <c r="E12" s="3"/>
      <c r="F12" s="3"/>
      <c r="G12" s="2"/>
      <c r="H12" s="2"/>
      <c r="I12" s="2"/>
      <c r="J12" s="2"/>
      <c r="K12" s="2"/>
      <c r="L12" s="2"/>
      <c r="M12" s="2"/>
      <c r="N12" s="2"/>
      <c r="O12" s="2"/>
      <c r="P12" s="2"/>
      <c r="Q12" s="2"/>
      <c r="R12" s="2"/>
      <c r="S12" s="2"/>
      <c r="T12" s="53"/>
      <c r="U12" s="2"/>
      <c r="V12" s="53"/>
      <c r="W12" s="53"/>
      <c r="X12" s="53"/>
      <c r="Y12" s="53"/>
      <c r="Z12" s="53"/>
      <c r="AA12" s="53"/>
      <c r="AB12" s="53"/>
      <c r="AC12" s="63" t="s">
        <v>8</v>
      </c>
      <c r="AD12" s="2"/>
      <c r="AE12" s="55"/>
    </row>
    <row r="13" spans="1:31" ht="19.5" thickBot="1" x14ac:dyDescent="0.3">
      <c r="A13" s="11"/>
      <c r="B13" s="157"/>
      <c r="C13" s="40"/>
      <c r="D13" s="40"/>
      <c r="E13" s="37"/>
      <c r="F13" s="44"/>
      <c r="G13" s="2"/>
      <c r="H13" s="45"/>
      <c r="I13" s="45"/>
      <c r="J13" s="45"/>
      <c r="K13" s="45"/>
      <c r="L13" s="45"/>
      <c r="M13" s="45"/>
      <c r="N13" s="45"/>
      <c r="O13" s="45"/>
      <c r="P13" s="45"/>
      <c r="Q13" s="45"/>
      <c r="R13" s="2"/>
      <c r="S13" s="2"/>
      <c r="T13" s="53"/>
      <c r="U13" s="2"/>
      <c r="V13" s="53"/>
      <c r="W13" s="53"/>
      <c r="X13" s="53"/>
      <c r="Y13" s="53"/>
      <c r="Z13" s="53"/>
      <c r="AA13" s="53"/>
      <c r="AB13" s="53"/>
      <c r="AC13" s="64" t="s">
        <v>11</v>
      </c>
      <c r="AD13" s="64" t="s">
        <v>12</v>
      </c>
      <c r="AE13" s="55"/>
    </row>
    <row r="14" spans="1:31" ht="57.95" customHeight="1" thickTop="1" thickBot="1" x14ac:dyDescent="0.3">
      <c r="A14" s="11"/>
      <c r="B14" s="165" t="s">
        <v>276</v>
      </c>
      <c r="C14" s="61" t="s">
        <v>275</v>
      </c>
      <c r="D14" s="184" t="s">
        <v>299</v>
      </c>
      <c r="E14" s="184"/>
      <c r="F14" s="44"/>
      <c r="G14" s="2"/>
      <c r="H14" s="45"/>
      <c r="I14" s="45"/>
      <c r="J14" s="45"/>
      <c r="K14" s="45"/>
      <c r="L14" s="45"/>
      <c r="M14" s="45"/>
      <c r="N14" s="45"/>
      <c r="O14" s="45"/>
      <c r="P14" s="45"/>
      <c r="Q14" s="45"/>
      <c r="R14" s="2"/>
      <c r="S14" s="2"/>
      <c r="T14" s="53"/>
      <c r="U14" s="2"/>
      <c r="V14" s="53"/>
      <c r="W14" s="53"/>
      <c r="X14" s="53"/>
      <c r="Y14" s="53"/>
      <c r="Z14" s="53"/>
      <c r="AA14" s="53"/>
      <c r="AB14" s="53"/>
      <c r="AC14" s="64" t="s">
        <v>13</v>
      </c>
      <c r="AD14" s="64" t="s">
        <v>14</v>
      </c>
      <c r="AE14" s="55"/>
    </row>
    <row r="15" spans="1:31" ht="20.25" thickTop="1" thickBot="1" x14ac:dyDescent="0.3">
      <c r="A15" s="88"/>
      <c r="B15" s="160" t="str">
        <f>IF($C$14=$AD$25,"Enter RU price for 2031 - 2040 (in USD/tCO2eq) -&gt;","")</f>
        <v/>
      </c>
      <c r="C15" s="38">
        <v>500</v>
      </c>
      <c r="D15" s="184"/>
      <c r="E15" s="184"/>
      <c r="F15" s="44"/>
      <c r="G15" s="2"/>
      <c r="H15" s="45"/>
      <c r="I15" s="45"/>
      <c r="J15" s="45"/>
      <c r="K15" s="45"/>
      <c r="L15" s="45"/>
      <c r="M15" s="45"/>
      <c r="N15" s="45"/>
      <c r="O15" s="45"/>
      <c r="P15" s="45"/>
      <c r="Q15" s="45"/>
      <c r="R15" s="2"/>
      <c r="S15" s="2"/>
      <c r="T15" s="53"/>
      <c r="U15" s="2"/>
      <c r="V15" s="53"/>
      <c r="W15" s="53"/>
      <c r="X15" s="53"/>
      <c r="Y15" s="53"/>
      <c r="Z15" s="53"/>
      <c r="AA15" s="53"/>
      <c r="AB15" s="53"/>
      <c r="AC15" s="64" t="s">
        <v>15</v>
      </c>
      <c r="AD15" s="64" t="s">
        <v>16</v>
      </c>
      <c r="AE15" s="55"/>
    </row>
    <row r="16" spans="1:31" ht="20.25" thickTop="1" thickBot="1" x14ac:dyDescent="0.3">
      <c r="A16" s="88"/>
      <c r="B16" s="88"/>
      <c r="C16" s="88"/>
      <c r="D16" s="41"/>
      <c r="E16" s="11"/>
      <c r="F16" s="44"/>
      <c r="G16" s="2"/>
      <c r="H16" s="45"/>
      <c r="I16" s="45"/>
      <c r="J16" s="45"/>
      <c r="K16" s="45"/>
      <c r="L16" s="45"/>
      <c r="M16" s="45"/>
      <c r="N16" s="45"/>
      <c r="O16" s="45"/>
      <c r="P16" s="45"/>
      <c r="Q16" s="45"/>
      <c r="R16" s="2"/>
      <c r="S16" s="2"/>
      <c r="T16" s="53"/>
      <c r="U16" s="2"/>
      <c r="V16" s="53"/>
      <c r="W16" s="53"/>
      <c r="X16" s="53"/>
      <c r="Y16" s="53"/>
      <c r="Z16" s="53"/>
      <c r="AA16" s="53"/>
      <c r="AB16" s="53"/>
      <c r="AC16" s="64" t="s">
        <v>20</v>
      </c>
      <c r="AD16" s="64" t="s">
        <v>21</v>
      </c>
      <c r="AE16" s="55"/>
    </row>
    <row r="17" spans="1:48" ht="87" customHeight="1" thickTop="1" thickBot="1" x14ac:dyDescent="0.3">
      <c r="A17" s="159"/>
      <c r="B17" s="158" t="s">
        <v>24</v>
      </c>
      <c r="C17" s="61" t="s">
        <v>273</v>
      </c>
      <c r="D17" s="179" t="s">
        <v>300</v>
      </c>
      <c r="E17" s="180"/>
      <c r="F17" s="44"/>
      <c r="G17" s="45"/>
      <c r="H17" s="45"/>
      <c r="I17" s="45"/>
      <c r="J17" s="45"/>
      <c r="K17" s="45"/>
      <c r="L17" s="45"/>
      <c r="M17" s="45"/>
      <c r="N17" s="45"/>
      <c r="O17" s="45"/>
      <c r="P17" s="45"/>
      <c r="Q17" s="45"/>
      <c r="R17" s="2"/>
      <c r="S17" s="2"/>
      <c r="T17" s="53"/>
      <c r="U17" s="2"/>
      <c r="V17" s="53"/>
      <c r="W17" s="53"/>
      <c r="X17" s="53"/>
      <c r="Y17" s="53"/>
      <c r="Z17" s="53"/>
      <c r="AA17" s="53"/>
      <c r="AB17" s="53"/>
      <c r="AC17" s="64" t="s">
        <v>22</v>
      </c>
      <c r="AD17" s="64" t="s">
        <v>23</v>
      </c>
      <c r="AE17" s="55"/>
      <c r="AF17" s="39"/>
      <c r="AG17" s="39"/>
      <c r="AH17" s="39"/>
      <c r="AI17" s="39"/>
      <c r="AJ17" s="39"/>
      <c r="AK17" s="39"/>
      <c r="AL17" s="39"/>
      <c r="AM17" s="39"/>
      <c r="AN17" s="39"/>
      <c r="AO17" s="39"/>
      <c r="AP17" s="39"/>
      <c r="AQ17" s="39"/>
      <c r="AR17" s="39"/>
      <c r="AS17" s="39"/>
      <c r="AT17" s="39"/>
      <c r="AU17" s="39"/>
      <c r="AV17" s="39"/>
    </row>
    <row r="18" spans="1:48" ht="21.75" customHeight="1" thickTop="1" x14ac:dyDescent="0.25">
      <c r="A18" s="159"/>
      <c r="B18" s="157"/>
      <c r="C18" s="40"/>
      <c r="D18" s="40"/>
      <c r="E18" s="37"/>
      <c r="F18" s="44"/>
      <c r="G18" s="45"/>
      <c r="H18" s="45"/>
      <c r="I18" s="45"/>
      <c r="J18" s="45"/>
      <c r="K18" s="45"/>
      <c r="L18" s="45"/>
      <c r="M18" s="45"/>
      <c r="N18" s="45"/>
      <c r="O18" s="45"/>
      <c r="P18" s="45"/>
      <c r="Q18" s="45"/>
      <c r="R18" s="2"/>
      <c r="S18" s="2"/>
      <c r="T18" s="53"/>
      <c r="U18" s="2"/>
      <c r="V18" s="53"/>
      <c r="W18" s="53"/>
      <c r="X18" s="53"/>
      <c r="Y18" s="53"/>
      <c r="Z18" s="53"/>
      <c r="AA18" s="53"/>
      <c r="AB18" s="53"/>
      <c r="AC18" s="64" t="s">
        <v>25</v>
      </c>
      <c r="AD18" s="64" t="s">
        <v>26</v>
      </c>
      <c r="AE18" s="55"/>
      <c r="AF18" s="39"/>
      <c r="AG18" s="39"/>
      <c r="AH18" s="39"/>
      <c r="AI18" s="39"/>
      <c r="AJ18" s="39"/>
      <c r="AK18" s="39"/>
      <c r="AL18" s="39"/>
      <c r="AM18" s="39"/>
      <c r="AN18" s="39"/>
      <c r="AO18" s="39"/>
      <c r="AP18" s="39"/>
      <c r="AQ18" s="39"/>
      <c r="AR18" s="39"/>
      <c r="AS18" s="39"/>
      <c r="AT18" s="39"/>
      <c r="AU18" s="39"/>
      <c r="AV18" s="39"/>
    </row>
    <row r="19" spans="1:48" ht="31.5" customHeight="1" thickBot="1" x14ac:dyDescent="0.3">
      <c r="A19" s="159"/>
      <c r="B19" s="158" t="s">
        <v>32</v>
      </c>
      <c r="C19" s="40"/>
      <c r="D19" s="40"/>
      <c r="E19" s="37"/>
      <c r="F19" s="44"/>
      <c r="G19" s="45"/>
      <c r="H19" s="45"/>
      <c r="I19" s="45"/>
      <c r="J19" s="45"/>
      <c r="K19" s="45"/>
      <c r="L19" s="45"/>
      <c r="M19" s="45"/>
      <c r="N19" s="45"/>
      <c r="O19" s="45"/>
      <c r="P19" s="45"/>
      <c r="Q19" s="45"/>
      <c r="R19" s="2"/>
      <c r="S19" s="2"/>
      <c r="T19" s="53"/>
      <c r="U19" s="2"/>
      <c r="V19" s="53"/>
      <c r="W19" s="53"/>
      <c r="X19" s="53"/>
      <c r="Y19" s="53"/>
      <c r="Z19" s="53"/>
      <c r="AA19" s="53"/>
      <c r="AB19" s="53"/>
      <c r="AC19" s="64" t="s">
        <v>22</v>
      </c>
      <c r="AD19" s="64" t="s">
        <v>27</v>
      </c>
      <c r="AE19" s="55"/>
      <c r="AF19" s="39"/>
      <c r="AG19" s="39"/>
      <c r="AH19" s="39"/>
      <c r="AI19" s="39"/>
      <c r="AJ19" s="39"/>
      <c r="AK19" s="39"/>
      <c r="AL19" s="39"/>
      <c r="AM19" s="39"/>
      <c r="AN19" s="39"/>
      <c r="AO19" s="39"/>
      <c r="AP19" s="39"/>
      <c r="AQ19" s="39"/>
      <c r="AR19" s="39"/>
      <c r="AS19" s="39"/>
      <c r="AT19" s="39"/>
      <c r="AU19" s="39"/>
      <c r="AV19" s="39"/>
    </row>
    <row r="20" spans="1:48" ht="15" customHeight="1" thickTop="1" thickBot="1" x14ac:dyDescent="0.3">
      <c r="A20" s="159"/>
      <c r="B20" s="160" t="s">
        <v>34</v>
      </c>
      <c r="C20" s="5" t="s">
        <v>26</v>
      </c>
      <c r="D20" s="181" t="s">
        <v>289</v>
      </c>
      <c r="E20" s="180"/>
      <c r="F20" s="44"/>
      <c r="G20" s="45"/>
      <c r="H20" s="45"/>
      <c r="I20" s="45"/>
      <c r="J20" s="45"/>
      <c r="K20" s="45"/>
      <c r="L20" s="45"/>
      <c r="M20" s="45"/>
      <c r="N20" s="45"/>
      <c r="O20" s="45"/>
      <c r="P20" s="45"/>
      <c r="Q20" s="45"/>
      <c r="R20" s="2"/>
      <c r="S20" s="2"/>
      <c r="T20" s="53"/>
      <c r="U20" s="2"/>
      <c r="V20" s="53"/>
      <c r="W20" s="53"/>
      <c r="X20" s="53"/>
      <c r="Y20" s="53"/>
      <c r="Z20" s="53"/>
      <c r="AA20" s="53"/>
      <c r="AB20" s="53"/>
      <c r="AC20" s="64" t="s">
        <v>28</v>
      </c>
      <c r="AD20" s="64" t="s">
        <v>26</v>
      </c>
      <c r="AE20" s="55"/>
      <c r="AF20" s="39"/>
      <c r="AG20" s="39"/>
      <c r="AH20" s="39"/>
      <c r="AI20" s="39"/>
      <c r="AJ20" s="39"/>
      <c r="AK20" s="39"/>
      <c r="AL20" s="39"/>
      <c r="AM20" s="39"/>
      <c r="AN20" s="39"/>
      <c r="AO20" s="39"/>
      <c r="AP20" s="39"/>
      <c r="AQ20" s="39"/>
      <c r="AR20" s="39"/>
      <c r="AS20" s="39"/>
      <c r="AT20" s="39"/>
      <c r="AU20" s="39"/>
      <c r="AV20" s="39"/>
    </row>
    <row r="21" spans="1:48" ht="15" customHeight="1" thickTop="1" thickBot="1" x14ac:dyDescent="0.3">
      <c r="A21" s="11"/>
      <c r="B21" s="160" t="s">
        <v>35</v>
      </c>
      <c r="C21" s="5" t="s">
        <v>26</v>
      </c>
      <c r="D21" s="181"/>
      <c r="E21" s="180"/>
      <c r="F21" s="44"/>
      <c r="G21" s="45"/>
      <c r="H21" s="45"/>
      <c r="I21" s="45"/>
      <c r="J21" s="45"/>
      <c r="K21" s="45"/>
      <c r="L21" s="45"/>
      <c r="M21" s="45"/>
      <c r="N21" s="45"/>
      <c r="O21" s="45"/>
      <c r="P21" s="45"/>
      <c r="Q21" s="45"/>
      <c r="R21" s="2"/>
      <c r="S21" s="2"/>
      <c r="T21" s="53"/>
      <c r="U21" s="2"/>
      <c r="V21" s="53"/>
      <c r="W21" s="53"/>
      <c r="X21" s="53"/>
      <c r="Y21" s="53"/>
      <c r="Z21" s="53"/>
      <c r="AA21" s="53"/>
      <c r="AB21" s="53"/>
      <c r="AC21" s="64" t="s">
        <v>29</v>
      </c>
      <c r="AD21" s="64" t="s">
        <v>17</v>
      </c>
      <c r="AE21" s="55"/>
      <c r="AF21" s="39"/>
      <c r="AG21" s="39"/>
      <c r="AH21" s="39"/>
      <c r="AI21" s="39"/>
      <c r="AJ21" s="39"/>
      <c r="AK21" s="39"/>
      <c r="AL21" s="39"/>
      <c r="AM21" s="39"/>
      <c r="AN21" s="39"/>
      <c r="AO21" s="39"/>
      <c r="AP21" s="39"/>
      <c r="AQ21" s="39"/>
      <c r="AR21" s="39"/>
      <c r="AS21" s="39"/>
      <c r="AT21" s="39"/>
      <c r="AU21" s="39"/>
      <c r="AV21" s="39"/>
    </row>
    <row r="22" spans="1:48" ht="16.5" customHeight="1" thickTop="1" thickBot="1" x14ac:dyDescent="0.3">
      <c r="A22" s="11"/>
      <c r="B22" s="160" t="s">
        <v>37</v>
      </c>
      <c r="C22" s="5" t="s">
        <v>17</v>
      </c>
      <c r="D22" s="181"/>
      <c r="E22" s="180"/>
      <c r="F22" s="44"/>
      <c r="G22" s="45"/>
      <c r="H22" s="45"/>
      <c r="I22" s="45"/>
      <c r="J22" s="45"/>
      <c r="K22" s="45"/>
      <c r="L22" s="45"/>
      <c r="M22" s="45"/>
      <c r="N22" s="45"/>
      <c r="O22" s="45"/>
      <c r="P22" s="45"/>
      <c r="Q22" s="45"/>
      <c r="R22" s="2"/>
      <c r="S22" s="2"/>
      <c r="T22" s="53"/>
      <c r="U22" s="2"/>
      <c r="V22" s="53"/>
      <c r="W22" s="53"/>
      <c r="X22" s="53"/>
      <c r="Y22" s="53"/>
      <c r="Z22" s="53"/>
      <c r="AA22" s="53"/>
      <c r="AB22" s="53"/>
      <c r="AC22" s="64" t="s">
        <v>30</v>
      </c>
      <c r="AD22" s="64" t="s">
        <v>31</v>
      </c>
      <c r="AE22" s="55"/>
      <c r="AF22" s="39"/>
      <c r="AG22" s="39"/>
      <c r="AH22" s="39"/>
      <c r="AI22" s="39"/>
      <c r="AJ22" s="39"/>
      <c r="AK22" s="39"/>
      <c r="AL22" s="39"/>
      <c r="AM22" s="39"/>
      <c r="AN22" s="39"/>
      <c r="AO22" s="39"/>
      <c r="AP22" s="39"/>
      <c r="AQ22" s="39"/>
      <c r="AR22" s="39"/>
      <c r="AS22" s="39"/>
      <c r="AT22" s="39"/>
      <c r="AU22" s="39"/>
      <c r="AV22" s="39"/>
    </row>
    <row r="23" spans="1:48" ht="19.5" thickTop="1" x14ac:dyDescent="0.25">
      <c r="A23" s="11"/>
      <c r="B23" s="157"/>
      <c r="C23" s="40"/>
      <c r="D23" s="40"/>
      <c r="E23" s="37"/>
      <c r="F23" s="44"/>
      <c r="G23" s="45"/>
      <c r="H23" s="45"/>
      <c r="I23" s="45"/>
      <c r="J23" s="45"/>
      <c r="K23" s="45"/>
      <c r="L23" s="45"/>
      <c r="M23" s="45"/>
      <c r="N23" s="45"/>
      <c r="O23" s="45"/>
      <c r="P23" s="45"/>
      <c r="Q23" s="45"/>
      <c r="R23" s="2"/>
      <c r="S23" s="2"/>
      <c r="T23" s="53"/>
      <c r="U23" s="2"/>
      <c r="V23" s="53"/>
      <c r="W23" s="53"/>
      <c r="X23" s="53"/>
      <c r="Y23" s="53"/>
      <c r="Z23" s="53"/>
      <c r="AA23" s="53"/>
      <c r="AB23" s="53"/>
      <c r="AC23" s="64" t="s">
        <v>22</v>
      </c>
      <c r="AD23" s="64" t="s">
        <v>27</v>
      </c>
      <c r="AE23" s="55"/>
      <c r="AF23" s="39"/>
      <c r="AG23" s="39"/>
      <c r="AH23" s="39"/>
      <c r="AI23" s="39"/>
      <c r="AJ23" s="39"/>
      <c r="AK23" s="39"/>
      <c r="AL23" s="39"/>
      <c r="AM23" s="39"/>
      <c r="AN23" s="39"/>
      <c r="AO23" s="39"/>
      <c r="AP23" s="39"/>
      <c r="AQ23" s="39"/>
      <c r="AR23" s="39"/>
      <c r="AS23" s="39"/>
      <c r="AT23" s="39"/>
      <c r="AU23" s="39"/>
      <c r="AV23" s="39"/>
    </row>
    <row r="24" spans="1:48" ht="17.100000000000001" customHeight="1" x14ac:dyDescent="0.25">
      <c r="A24" s="11"/>
      <c r="B24" s="156" t="s">
        <v>40</v>
      </c>
      <c r="C24" s="3"/>
      <c r="D24" s="4" t="s">
        <v>7</v>
      </c>
      <c r="E24" s="3"/>
      <c r="F24" s="3"/>
      <c r="G24" s="45"/>
      <c r="H24" s="45"/>
      <c r="I24" s="45"/>
      <c r="J24" s="45"/>
      <c r="K24" s="45"/>
      <c r="L24" s="45"/>
      <c r="M24" s="45"/>
      <c r="N24" s="45"/>
      <c r="O24" s="45"/>
      <c r="P24" s="45"/>
      <c r="Q24" s="45"/>
      <c r="R24" s="2"/>
      <c r="S24" s="2"/>
      <c r="T24" s="53"/>
      <c r="U24" s="2"/>
      <c r="V24" s="53"/>
      <c r="W24" s="53"/>
      <c r="X24" s="53"/>
      <c r="Y24" s="53"/>
      <c r="Z24" s="53"/>
      <c r="AA24" s="53"/>
      <c r="AB24" s="53"/>
      <c r="AC24" s="64" t="s">
        <v>33</v>
      </c>
      <c r="AD24" s="64" t="s">
        <v>275</v>
      </c>
      <c r="AE24" s="55"/>
      <c r="AF24" s="39"/>
      <c r="AG24" s="39"/>
      <c r="AH24" s="39"/>
      <c r="AI24" s="39"/>
      <c r="AJ24" s="39"/>
      <c r="AK24" s="39"/>
      <c r="AL24" s="39"/>
      <c r="AM24" s="39"/>
      <c r="AN24" s="39"/>
      <c r="AO24" s="39"/>
      <c r="AP24" s="39"/>
      <c r="AQ24" s="39"/>
      <c r="AR24" s="39"/>
      <c r="AS24" s="39"/>
      <c r="AT24" s="39"/>
      <c r="AU24" s="39"/>
      <c r="AV24" s="39"/>
    </row>
    <row r="25" spans="1:48" ht="40.5" customHeight="1" x14ac:dyDescent="0.25">
      <c r="A25" s="11"/>
      <c r="B25" s="190" t="s">
        <v>277</v>
      </c>
      <c r="C25" s="190"/>
      <c r="D25" s="190"/>
      <c r="E25" s="190"/>
      <c r="F25" s="44"/>
      <c r="G25" s="45"/>
      <c r="H25" s="45"/>
      <c r="I25" s="45"/>
      <c r="J25" s="45"/>
      <c r="K25" s="45"/>
      <c r="L25" s="45"/>
      <c r="M25" s="45"/>
      <c r="N25" s="45"/>
      <c r="O25" s="45"/>
      <c r="P25" s="45"/>
      <c r="Q25" s="45"/>
      <c r="R25" s="2"/>
      <c r="S25" s="2"/>
      <c r="T25" s="53"/>
      <c r="U25" s="2"/>
      <c r="V25" s="53"/>
      <c r="W25" s="53"/>
      <c r="X25" s="53"/>
      <c r="Y25" s="53"/>
      <c r="Z25" s="53"/>
      <c r="AA25" s="53"/>
      <c r="AB25" s="53"/>
      <c r="AC25" s="64" t="s">
        <v>22</v>
      </c>
      <c r="AD25" s="54" t="s">
        <v>274</v>
      </c>
      <c r="AE25" s="55"/>
      <c r="AF25" s="42"/>
      <c r="AG25" s="42"/>
      <c r="AH25" s="42"/>
      <c r="AK25" s="42"/>
      <c r="AL25" s="42"/>
      <c r="AM25" s="42"/>
      <c r="AN25" s="42"/>
      <c r="AO25" s="42"/>
    </row>
    <row r="26" spans="1:48" ht="36" customHeight="1" thickBot="1" x14ac:dyDescent="0.3">
      <c r="A26" s="11"/>
      <c r="B26" s="158" t="s">
        <v>43</v>
      </c>
      <c r="C26" s="6"/>
      <c r="D26" s="11"/>
      <c r="E26" s="11"/>
      <c r="F26" s="44"/>
      <c r="G26" s="45"/>
      <c r="H26" s="45"/>
      <c r="I26" s="45"/>
      <c r="J26" s="45"/>
      <c r="K26" s="45"/>
      <c r="L26" s="45"/>
      <c r="M26" s="45"/>
      <c r="N26" s="45"/>
      <c r="O26" s="45"/>
      <c r="P26" s="45"/>
      <c r="Q26" s="45"/>
      <c r="R26" s="2"/>
      <c r="S26" s="2"/>
      <c r="T26" s="53"/>
      <c r="U26" s="2"/>
      <c r="V26" s="53"/>
      <c r="W26" s="53"/>
      <c r="X26" s="53"/>
      <c r="Y26" s="53"/>
      <c r="Z26" s="53"/>
      <c r="AA26" s="53"/>
      <c r="AB26" s="53"/>
      <c r="AC26" s="64" t="s">
        <v>36</v>
      </c>
      <c r="AD26" s="54"/>
      <c r="AE26" s="55"/>
      <c r="AF26" s="42"/>
      <c r="AG26" s="42"/>
      <c r="AH26" s="42"/>
      <c r="AK26" s="42"/>
      <c r="AL26" s="42"/>
      <c r="AM26" s="42"/>
      <c r="AN26" s="42"/>
      <c r="AO26" s="42"/>
    </row>
    <row r="27" spans="1:48" ht="19.5" customHeight="1" thickTop="1" thickBot="1" x14ac:dyDescent="0.3">
      <c r="A27" s="11"/>
      <c r="B27" s="157" t="s">
        <v>44</v>
      </c>
      <c r="C27" s="5" t="s">
        <v>20</v>
      </c>
      <c r="D27" s="51" t="s">
        <v>45</v>
      </c>
      <c r="E27" s="11"/>
      <c r="F27" s="44"/>
      <c r="G27" s="45"/>
      <c r="H27" s="45"/>
      <c r="I27" s="45"/>
      <c r="J27" s="45"/>
      <c r="K27" s="45"/>
      <c r="L27" s="45"/>
      <c r="M27" s="45"/>
      <c r="N27" s="45"/>
      <c r="O27" s="45"/>
      <c r="P27" s="45"/>
      <c r="Q27" s="45"/>
      <c r="R27" s="2"/>
      <c r="S27" s="2"/>
      <c r="T27" s="53"/>
      <c r="U27" s="2"/>
      <c r="V27" s="53"/>
      <c r="W27" s="53"/>
      <c r="X27" s="53"/>
      <c r="Y27" s="53"/>
      <c r="Z27" s="53"/>
      <c r="AA27" s="53"/>
      <c r="AB27" s="53"/>
      <c r="AC27" s="64" t="s">
        <v>38</v>
      </c>
      <c r="AD27" s="54"/>
      <c r="AE27" s="55"/>
      <c r="AF27" s="42"/>
      <c r="AG27" s="42"/>
      <c r="AH27" s="42"/>
    </row>
    <row r="28" spans="1:48" ht="17.100000000000001" customHeight="1" thickTop="1" thickBot="1" x14ac:dyDescent="0.3">
      <c r="A28" s="11"/>
      <c r="B28" s="157" t="str">
        <f>IF(C27="Enter fixed price","Enter fixed LSFO price [USD/tonne LSFO] -&gt; ","")</f>
        <v/>
      </c>
      <c r="C28" s="5">
        <v>600</v>
      </c>
      <c r="D28" s="9"/>
      <c r="E28" s="11"/>
      <c r="F28" s="44"/>
      <c r="G28" s="45"/>
      <c r="H28" s="45"/>
      <c r="I28" s="45"/>
      <c r="J28" s="45"/>
      <c r="K28" s="45"/>
      <c r="L28" s="45"/>
      <c r="M28" s="45"/>
      <c r="N28" s="45"/>
      <c r="O28" s="45"/>
      <c r="P28" s="45"/>
      <c r="Q28" s="45"/>
      <c r="R28" s="2"/>
      <c r="S28" s="2"/>
      <c r="T28" s="53"/>
      <c r="U28" s="2"/>
      <c r="V28" s="53"/>
      <c r="W28" s="53"/>
      <c r="X28" s="53"/>
      <c r="Y28" s="53"/>
      <c r="Z28" s="53"/>
      <c r="AA28" s="53"/>
      <c r="AB28" s="53"/>
      <c r="AC28" s="64" t="s">
        <v>39</v>
      </c>
      <c r="AD28" s="54"/>
      <c r="AE28" s="55"/>
      <c r="AF28" s="42"/>
      <c r="AG28" s="42"/>
      <c r="AH28" s="42"/>
    </row>
    <row r="29" spans="1:48" ht="35.450000000000003" customHeight="1" thickTop="1" thickBot="1" x14ac:dyDescent="0.3">
      <c r="A29" s="11"/>
      <c r="B29" s="158" t="s">
        <v>48</v>
      </c>
      <c r="C29" s="151" t="s">
        <v>46</v>
      </c>
      <c r="D29" s="179" t="s">
        <v>290</v>
      </c>
      <c r="E29" s="180"/>
      <c r="F29" s="44"/>
      <c r="G29" s="45"/>
      <c r="H29" s="45"/>
      <c r="I29" s="45"/>
      <c r="J29" s="45"/>
      <c r="K29" s="45"/>
      <c r="L29" s="45"/>
      <c r="M29" s="45"/>
      <c r="N29" s="45"/>
      <c r="O29" s="45"/>
      <c r="P29" s="45"/>
      <c r="Q29" s="45"/>
      <c r="R29" s="45"/>
      <c r="S29" s="2"/>
      <c r="T29" s="53"/>
      <c r="U29" s="2"/>
      <c r="V29" s="53"/>
      <c r="W29" s="53"/>
      <c r="X29" s="53"/>
      <c r="Y29" s="53"/>
      <c r="Z29" s="53"/>
      <c r="AA29" s="64"/>
      <c r="AB29" s="53"/>
      <c r="AC29" s="64" t="s">
        <v>42</v>
      </c>
      <c r="AD29" s="54"/>
      <c r="AE29" s="55"/>
    </row>
    <row r="30" spans="1:48" ht="19.5" thickTop="1" x14ac:dyDescent="0.25">
      <c r="A30" s="11"/>
      <c r="B30" s="159"/>
      <c r="C30" s="11"/>
      <c r="D30" s="11"/>
      <c r="E30" s="11"/>
      <c r="F30" s="11"/>
      <c r="G30" s="45"/>
      <c r="H30" s="45"/>
      <c r="I30" s="45"/>
      <c r="J30" s="45"/>
      <c r="K30" s="45"/>
      <c r="L30" s="45"/>
      <c r="M30" s="45"/>
      <c r="N30" s="45"/>
      <c r="O30" s="45"/>
      <c r="P30" s="45"/>
      <c r="Q30" s="45"/>
      <c r="R30" s="45"/>
      <c r="S30" s="2"/>
      <c r="T30" s="53"/>
      <c r="U30" s="2"/>
      <c r="V30" s="53"/>
      <c r="W30" s="53"/>
      <c r="X30" s="53"/>
      <c r="Y30" s="53"/>
      <c r="Z30" s="53"/>
      <c r="AA30" s="64"/>
      <c r="AB30" s="53"/>
      <c r="AC30" s="64" t="s">
        <v>41</v>
      </c>
      <c r="AD30" s="54"/>
      <c r="AE30" s="55"/>
    </row>
    <row r="31" spans="1:48" ht="19.5" thickBot="1" x14ac:dyDescent="0.3">
      <c r="A31" s="11"/>
      <c r="B31" s="158" t="s">
        <v>51</v>
      </c>
      <c r="C31" s="6"/>
      <c r="D31" s="11"/>
      <c r="E31" s="11"/>
      <c r="F31" s="44"/>
      <c r="G31" s="45"/>
      <c r="H31" s="45"/>
      <c r="I31" s="45"/>
      <c r="J31" s="45"/>
      <c r="K31" s="45"/>
      <c r="L31" s="45"/>
      <c r="M31" s="45"/>
      <c r="N31" s="45"/>
      <c r="O31" s="45"/>
      <c r="P31" s="45"/>
      <c r="Q31" s="45"/>
      <c r="R31" s="45"/>
      <c r="S31" s="2"/>
      <c r="T31" s="53"/>
      <c r="U31" s="2"/>
      <c r="V31" s="53"/>
      <c r="W31" s="53"/>
      <c r="X31" s="53"/>
      <c r="Y31" s="53"/>
      <c r="Z31" s="53"/>
      <c r="AA31" s="53"/>
      <c r="AB31" s="53"/>
      <c r="AC31" s="64" t="s">
        <v>22</v>
      </c>
      <c r="AD31" s="54"/>
      <c r="AE31" s="55"/>
    </row>
    <row r="32" spans="1:48" ht="27" thickTop="1" thickBot="1" x14ac:dyDescent="0.3">
      <c r="A32" s="11"/>
      <c r="B32" s="160" t="s">
        <v>52</v>
      </c>
      <c r="C32" s="8" t="s">
        <v>28</v>
      </c>
      <c r="D32" s="51" t="s">
        <v>53</v>
      </c>
      <c r="E32" s="11"/>
      <c r="F32" s="44"/>
      <c r="G32" s="45"/>
      <c r="H32" s="45"/>
      <c r="I32" s="45"/>
      <c r="J32" s="45"/>
      <c r="K32" s="45"/>
      <c r="L32" s="45"/>
      <c r="M32" s="45"/>
      <c r="N32" s="45"/>
      <c r="O32" s="45"/>
      <c r="P32" s="45"/>
      <c r="Q32" s="45"/>
      <c r="R32" s="45"/>
      <c r="S32" s="2"/>
      <c r="T32" s="53"/>
      <c r="U32" s="2"/>
      <c r="V32" s="53"/>
      <c r="W32" s="53"/>
      <c r="X32" s="53"/>
      <c r="Y32" s="53"/>
      <c r="Z32" s="53"/>
      <c r="AA32" s="53"/>
      <c r="AB32" s="64"/>
      <c r="AC32" s="64" t="s">
        <v>18</v>
      </c>
      <c r="AD32" s="64" t="s">
        <v>46</v>
      </c>
      <c r="AE32" s="55"/>
      <c r="AG32" s="43"/>
      <c r="AH32" s="43"/>
      <c r="AI32" s="43"/>
      <c r="AJ32" s="43"/>
      <c r="AK32" s="43"/>
      <c r="AL32" s="43"/>
      <c r="AM32" s="43"/>
      <c r="AN32" s="43"/>
      <c r="AO32" s="43"/>
      <c r="AP32" s="43"/>
      <c r="AQ32" s="43"/>
      <c r="AR32" s="43"/>
    </row>
    <row r="33" spans="1:44" ht="20.25" thickTop="1" thickBot="1" x14ac:dyDescent="0.3">
      <c r="A33" s="11"/>
      <c r="B33" s="157" t="str">
        <f>IF(C32="Enter Fixed Price","Enter fixed bio-diesel price [USD/tLSFOeq] -&gt; ","")</f>
        <v/>
      </c>
      <c r="C33" s="7">
        <v>1500</v>
      </c>
      <c r="D33" s="11"/>
      <c r="E33" s="11"/>
      <c r="F33" s="44"/>
      <c r="G33" s="45"/>
      <c r="H33" s="45"/>
      <c r="I33" s="45"/>
      <c r="J33" s="45"/>
      <c r="K33" s="45"/>
      <c r="L33" s="45"/>
      <c r="M33" s="45"/>
      <c r="N33" s="45"/>
      <c r="O33" s="45"/>
      <c r="P33" s="45"/>
      <c r="Q33" s="45"/>
      <c r="R33" s="65"/>
      <c r="S33" s="2"/>
      <c r="T33" s="53"/>
      <c r="U33" s="2"/>
      <c r="V33" s="53"/>
      <c r="W33" s="53"/>
      <c r="X33" s="53"/>
      <c r="Y33" s="53"/>
      <c r="Z33" s="53"/>
      <c r="AA33" s="53"/>
      <c r="AB33" s="64"/>
      <c r="AC33" s="64" t="s">
        <v>273</v>
      </c>
      <c r="AD33" s="64" t="s">
        <v>47</v>
      </c>
      <c r="AE33" s="55"/>
      <c r="AG33" s="43"/>
      <c r="AH33" s="43"/>
      <c r="AI33" s="43"/>
      <c r="AJ33" s="43"/>
      <c r="AK33" s="43"/>
      <c r="AL33" s="43"/>
      <c r="AM33" s="43"/>
      <c r="AN33" s="43"/>
      <c r="AO33" s="43"/>
      <c r="AP33" s="43"/>
      <c r="AQ33" s="43"/>
      <c r="AR33" s="43"/>
    </row>
    <row r="34" spans="1:44" ht="41.1" customHeight="1" thickTop="1" x14ac:dyDescent="0.25">
      <c r="A34" s="11"/>
      <c r="B34" s="159"/>
      <c r="C34" s="11"/>
      <c r="D34" s="11"/>
      <c r="E34" s="11"/>
      <c r="F34" s="44"/>
      <c r="G34" s="45"/>
      <c r="H34" s="45"/>
      <c r="I34" s="45"/>
      <c r="J34" s="45"/>
      <c r="K34" s="45"/>
      <c r="L34" s="45"/>
      <c r="M34" s="45"/>
      <c r="N34" s="45"/>
      <c r="O34" s="45"/>
      <c r="P34" s="45"/>
      <c r="Q34" s="45"/>
      <c r="R34" s="65"/>
      <c r="S34" s="2"/>
      <c r="T34" s="53"/>
      <c r="U34" s="2"/>
      <c r="V34" s="53"/>
      <c r="W34" s="53"/>
      <c r="X34" s="53"/>
      <c r="Y34" s="53"/>
      <c r="Z34" s="53"/>
      <c r="AA34" s="53"/>
      <c r="AB34" s="64"/>
      <c r="AC34" s="64" t="s">
        <v>272</v>
      </c>
      <c r="AD34" s="64" t="s">
        <v>49</v>
      </c>
      <c r="AE34" s="55"/>
      <c r="AG34" s="43"/>
      <c r="AH34" s="43"/>
      <c r="AI34" s="43"/>
      <c r="AJ34" s="43"/>
      <c r="AK34" s="43"/>
      <c r="AL34" s="43"/>
      <c r="AM34" s="43"/>
      <c r="AN34" s="43"/>
      <c r="AO34" s="43"/>
      <c r="AP34" s="43"/>
      <c r="AQ34" s="43"/>
      <c r="AR34" s="43"/>
    </row>
    <row r="35" spans="1:44" ht="18.75" x14ac:dyDescent="0.25">
      <c r="A35" s="11"/>
      <c r="B35" s="156" t="s">
        <v>54</v>
      </c>
      <c r="C35" s="3"/>
      <c r="D35" s="4" t="s">
        <v>7</v>
      </c>
      <c r="E35" s="3"/>
      <c r="F35" s="3"/>
      <c r="G35" s="45"/>
      <c r="H35" s="45"/>
      <c r="I35" s="45"/>
      <c r="J35" s="45"/>
      <c r="K35" s="45"/>
      <c r="L35" s="45"/>
      <c r="M35" s="45"/>
      <c r="N35" s="45"/>
      <c r="O35" s="45"/>
      <c r="P35" s="45"/>
      <c r="Q35" s="45"/>
      <c r="R35" s="65"/>
      <c r="S35" s="2"/>
      <c r="T35" s="53"/>
      <c r="U35" s="2"/>
      <c r="V35" s="53"/>
      <c r="W35" s="53"/>
      <c r="X35" s="53"/>
      <c r="Y35" s="53"/>
      <c r="Z35" s="53"/>
      <c r="AA35" s="53"/>
      <c r="AB35" s="64"/>
      <c r="AC35" s="64" t="s">
        <v>9</v>
      </c>
      <c r="AD35" s="64" t="s">
        <v>50</v>
      </c>
      <c r="AE35" s="55"/>
      <c r="AG35" s="43"/>
      <c r="AH35" s="43"/>
      <c r="AI35" s="43"/>
      <c r="AJ35" s="43"/>
      <c r="AK35" s="43"/>
      <c r="AL35" s="43"/>
      <c r="AM35" s="43"/>
      <c r="AN35" s="43"/>
      <c r="AO35" s="43"/>
      <c r="AP35" s="43"/>
      <c r="AQ35" s="43"/>
      <c r="AR35" s="43"/>
    </row>
    <row r="36" spans="1:44" ht="54.75" customHeight="1" x14ac:dyDescent="0.25">
      <c r="A36" s="11"/>
      <c r="B36" s="190" t="s">
        <v>278</v>
      </c>
      <c r="C36" s="190"/>
      <c r="D36" s="190"/>
      <c r="E36" s="190"/>
      <c r="F36" s="44"/>
      <c r="G36" s="45"/>
      <c r="H36" s="45"/>
      <c r="I36" s="45"/>
      <c r="J36" s="45"/>
      <c r="K36" s="45"/>
      <c r="L36" s="45"/>
      <c r="M36" s="45"/>
      <c r="N36" s="45"/>
      <c r="O36" s="45"/>
      <c r="P36" s="45"/>
      <c r="Q36" s="45"/>
      <c r="R36" s="45"/>
      <c r="S36" s="45"/>
      <c r="T36" s="45"/>
      <c r="U36" s="45"/>
      <c r="V36" s="53"/>
      <c r="W36" s="53"/>
      <c r="X36" s="53"/>
      <c r="Y36" s="53"/>
      <c r="Z36" s="53"/>
      <c r="AA36" s="53"/>
      <c r="AB36" s="64"/>
      <c r="AC36" s="64" t="s">
        <v>11</v>
      </c>
      <c r="AD36" s="64"/>
      <c r="AE36" s="55"/>
      <c r="AG36" s="43"/>
      <c r="AH36" s="43"/>
      <c r="AI36" s="43"/>
      <c r="AJ36" s="43"/>
      <c r="AK36" s="43"/>
      <c r="AL36" s="43"/>
      <c r="AM36" s="43"/>
      <c r="AN36" s="43"/>
      <c r="AO36" s="43"/>
      <c r="AP36" s="43"/>
      <c r="AQ36" s="43"/>
      <c r="AR36" s="43"/>
    </row>
    <row r="37" spans="1:44" ht="19.5" thickBot="1" x14ac:dyDescent="0.3">
      <c r="A37" s="11"/>
      <c r="B37" s="158" t="s">
        <v>55</v>
      </c>
      <c r="C37" s="6"/>
      <c r="D37" s="11"/>
      <c r="E37" s="11"/>
      <c r="F37" s="44"/>
      <c r="G37" s="45"/>
      <c r="H37" s="45"/>
      <c r="I37" s="45"/>
      <c r="J37" s="45"/>
      <c r="K37" s="45"/>
      <c r="L37" s="45"/>
      <c r="M37" s="45"/>
      <c r="N37" s="45"/>
      <c r="O37" s="45"/>
      <c r="P37" s="45"/>
      <c r="Q37" s="45"/>
      <c r="R37" s="45"/>
      <c r="S37" s="45"/>
      <c r="T37" s="45"/>
      <c r="U37" s="45"/>
      <c r="V37" s="53"/>
      <c r="W37" s="53"/>
      <c r="X37" s="53"/>
      <c r="Y37" s="53"/>
      <c r="Z37" s="53"/>
      <c r="AA37" s="53"/>
      <c r="AB37" s="64"/>
      <c r="AC37" s="53"/>
      <c r="AD37" s="53"/>
      <c r="AE37" s="55"/>
    </row>
    <row r="38" spans="1:44" ht="22.5" customHeight="1" thickTop="1" thickBot="1" x14ac:dyDescent="0.4">
      <c r="A38" s="11"/>
      <c r="B38" s="157" t="s">
        <v>56</v>
      </c>
      <c r="C38" s="5" t="s">
        <v>38</v>
      </c>
      <c r="D38" s="180" t="s">
        <v>57</v>
      </c>
      <c r="E38" s="180"/>
      <c r="F38" s="44"/>
      <c r="G38" s="62" t="s">
        <v>58</v>
      </c>
      <c r="H38" s="56"/>
      <c r="I38" s="56"/>
      <c r="J38" s="56"/>
      <c r="K38" s="56"/>
      <c r="L38" s="56"/>
      <c r="M38" s="56"/>
      <c r="N38" s="56"/>
      <c r="O38" s="56"/>
      <c r="P38" s="56"/>
      <c r="Q38" s="56"/>
      <c r="R38" s="56"/>
      <c r="S38" s="56"/>
      <c r="T38" s="56"/>
      <c r="U38" s="56"/>
      <c r="V38" s="53"/>
      <c r="W38" s="53"/>
      <c r="X38" s="53"/>
      <c r="Y38" s="53"/>
      <c r="Z38" s="53"/>
      <c r="AA38" s="53"/>
      <c r="AB38" s="53"/>
      <c r="AC38" s="53"/>
      <c r="AD38" s="53"/>
      <c r="AE38" s="53"/>
    </row>
    <row r="39" spans="1:44" ht="22.5" customHeight="1" thickTop="1" thickBot="1" x14ac:dyDescent="0.3">
      <c r="A39" s="11"/>
      <c r="B39" s="157" t="s">
        <v>44</v>
      </c>
      <c r="C39" s="5" t="s">
        <v>25</v>
      </c>
      <c r="D39" s="51" t="s">
        <v>45</v>
      </c>
      <c r="E39" s="11"/>
      <c r="F39" s="44"/>
      <c r="G39" s="56"/>
      <c r="H39" s="57" t="s">
        <v>293</v>
      </c>
      <c r="I39" s="56"/>
      <c r="J39" s="56"/>
      <c r="K39" s="56"/>
      <c r="L39" s="56"/>
      <c r="M39" s="56"/>
      <c r="N39" s="56"/>
      <c r="O39" s="56"/>
      <c r="P39" s="56"/>
      <c r="Q39" s="56"/>
      <c r="R39" s="56"/>
      <c r="S39" s="56"/>
      <c r="T39" s="56"/>
      <c r="U39" s="56"/>
      <c r="V39" s="53"/>
      <c r="W39" s="53"/>
      <c r="X39" s="53"/>
      <c r="Y39" s="53"/>
      <c r="Z39" s="53"/>
      <c r="AA39" s="53"/>
      <c r="AB39" s="53"/>
      <c r="AC39" s="53"/>
      <c r="AD39" s="53"/>
      <c r="AE39" s="53"/>
    </row>
    <row r="40" spans="1:44" ht="17.25" thickTop="1" thickBot="1" x14ac:dyDescent="0.3">
      <c r="A40" s="11"/>
      <c r="B40" s="157" t="str">
        <f>IF(C39="Enter Fixed Price","Enter fixed LNG price [USD/tLSFOeq] -&gt;","")</f>
        <v/>
      </c>
      <c r="C40" s="38">
        <v>655</v>
      </c>
      <c r="D40" s="9"/>
      <c r="E40" s="11"/>
      <c r="F40" s="44"/>
      <c r="G40" s="57"/>
      <c r="H40" s="57">
        <v>2028</v>
      </c>
      <c r="I40" s="57">
        <v>2029</v>
      </c>
      <c r="J40" s="57">
        <v>2030</v>
      </c>
      <c r="K40" s="57">
        <v>2031</v>
      </c>
      <c r="L40" s="57">
        <v>2032</v>
      </c>
      <c r="M40" s="57">
        <v>2033</v>
      </c>
      <c r="N40" s="57">
        <v>2034</v>
      </c>
      <c r="O40" s="57">
        <v>2035</v>
      </c>
      <c r="P40" s="57">
        <v>2036</v>
      </c>
      <c r="Q40" s="57">
        <v>2037</v>
      </c>
      <c r="R40" s="57">
        <v>2038</v>
      </c>
      <c r="S40" s="57">
        <v>2039</v>
      </c>
      <c r="T40" s="57">
        <v>2040</v>
      </c>
      <c r="U40" s="56"/>
      <c r="V40" s="53"/>
      <c r="W40" s="53"/>
      <c r="X40" s="53"/>
      <c r="Y40" s="53"/>
      <c r="Z40" s="53"/>
      <c r="AA40" s="53"/>
      <c r="AB40" s="53"/>
      <c r="AC40" s="53"/>
      <c r="AD40" s="53"/>
      <c r="AE40" s="53"/>
      <c r="AG40" s="43"/>
      <c r="AH40" s="43"/>
      <c r="AI40" s="43"/>
      <c r="AJ40" s="43"/>
      <c r="AK40" s="43"/>
      <c r="AL40" s="43"/>
      <c r="AM40" s="43"/>
      <c r="AN40" s="43"/>
      <c r="AO40" s="43"/>
      <c r="AP40" s="43"/>
      <c r="AQ40" s="43"/>
      <c r="AR40" s="43"/>
    </row>
    <row r="41" spans="1:44" ht="19.5" customHeight="1" thickTop="1" x14ac:dyDescent="0.25">
      <c r="A41" s="11"/>
      <c r="B41" s="157"/>
      <c r="C41" s="41"/>
      <c r="D41" s="11"/>
      <c r="E41" s="11"/>
      <c r="F41" s="44"/>
      <c r="G41" s="58" t="str">
        <f>"Strategy 1: "&amp;IF(C29="LSFO only and always pay RU","LSFO + RU (BAU)","LSFO + bio-diesel (base case)")</f>
        <v>Strategy 1: LSFO + bio-diesel (base case)</v>
      </c>
      <c r="H41" s="89">
        <f>Calculations!H62</f>
        <v>686.54734627729408</v>
      </c>
      <c r="I41" s="149">
        <f>Calculations!I62</f>
        <v>698.22540722423264</v>
      </c>
      <c r="J41" s="89">
        <f>Calculations!J62</f>
        <v>713.36505159739556</v>
      </c>
      <c r="K41" s="89">
        <f>Calculations!K62</f>
        <v>775.87163498502537</v>
      </c>
      <c r="L41" s="89">
        <f>Calculations!L62</f>
        <v>844.67767471072193</v>
      </c>
      <c r="M41" s="89">
        <f>Calculations!M62</f>
        <v>919.7831707744856</v>
      </c>
      <c r="N41" s="89">
        <f>Calculations!N62</f>
        <v>990.1306824803886</v>
      </c>
      <c r="O41" s="89">
        <f>Calculations!O62</f>
        <v>1052.8417176804046</v>
      </c>
      <c r="P41" s="150">
        <f>Calculations!P62</f>
        <v>1152.6092736803948</v>
      </c>
      <c r="Q41" s="89">
        <f>Calculations!Q62</f>
        <v>1252.3768296803851</v>
      </c>
      <c r="R41" s="150">
        <f>Calculations!R62</f>
        <v>1352.144385680416</v>
      </c>
      <c r="S41" s="89">
        <f>Calculations!S62</f>
        <v>1451.9119416804062</v>
      </c>
      <c r="T41" s="89">
        <f>Calculations!T62</f>
        <v>1551.6794976803965</v>
      </c>
      <c r="U41" s="56"/>
      <c r="V41" s="53"/>
      <c r="W41" s="53"/>
      <c r="X41" s="53"/>
      <c r="Y41" s="53"/>
      <c r="Z41" s="53"/>
      <c r="AA41" s="53"/>
      <c r="AB41" s="53"/>
      <c r="AC41" s="53"/>
      <c r="AD41" s="53"/>
      <c r="AE41" s="53"/>
    </row>
    <row r="42" spans="1:44" ht="16.5" thickBot="1" x14ac:dyDescent="0.3">
      <c r="A42" s="11"/>
      <c r="B42" s="11"/>
      <c r="C42" s="11"/>
      <c r="D42" s="11"/>
      <c r="E42" s="11"/>
      <c r="F42" s="44"/>
      <c r="G42" s="58" t="str">
        <f>"Strategy 2: "&amp;IF($C$43="LNG only and always pay RU","LNG + RU (BAU)","LNG + bio-methane")</f>
        <v>Strategy 2: LNG + bio-methane</v>
      </c>
      <c r="H42" s="89">
        <f>Calculations!H80</f>
        <v>540.33186714206431</v>
      </c>
      <c r="I42" s="149">
        <f>Calculations!I80</f>
        <v>507.37524201569801</v>
      </c>
      <c r="J42" s="89">
        <f>Calculations!J80</f>
        <v>472.59423004358536</v>
      </c>
      <c r="K42" s="89">
        <f>Calculations!K80</f>
        <v>488.88901709230475</v>
      </c>
      <c r="L42" s="89">
        <f>Calculations!L80</f>
        <v>505.18380414102398</v>
      </c>
      <c r="M42" s="89">
        <f>Calculations!M80</f>
        <v>562.54576950974342</v>
      </c>
      <c r="N42" s="89">
        <f>Calculations!N80</f>
        <v>625.04868775846273</v>
      </c>
      <c r="O42" s="89">
        <f>Calculations!O80</f>
        <v>687.55160600719796</v>
      </c>
      <c r="P42" s="150">
        <f>Calculations!P80</f>
        <v>786.32746781707328</v>
      </c>
      <c r="Q42" s="89">
        <f>Calculations!Q80</f>
        <v>885.10332962694815</v>
      </c>
      <c r="R42" s="150">
        <f>Calculations!R80</f>
        <v>983.87919143686372</v>
      </c>
      <c r="S42" s="89">
        <f>Calculations!S80</f>
        <v>1082.6550532467386</v>
      </c>
      <c r="T42" s="89">
        <f>Calculations!T80</f>
        <v>1181.4309150566139</v>
      </c>
      <c r="U42" s="56"/>
      <c r="V42" s="53"/>
      <c r="W42" s="53"/>
      <c r="X42" s="53"/>
      <c r="Y42" s="53"/>
      <c r="Z42" s="53"/>
      <c r="AA42" s="53"/>
      <c r="AB42" s="53"/>
      <c r="AC42" s="53"/>
      <c r="AD42" s="53"/>
      <c r="AE42" s="53"/>
      <c r="AG42" s="43"/>
      <c r="AH42" s="43"/>
      <c r="AI42" s="43"/>
      <c r="AJ42" s="43"/>
      <c r="AK42" s="43"/>
      <c r="AL42" s="43"/>
      <c r="AM42" s="43"/>
      <c r="AN42" s="43"/>
      <c r="AO42" s="43"/>
      <c r="AP42" s="43"/>
      <c r="AQ42" s="43"/>
      <c r="AR42" s="43"/>
    </row>
    <row r="43" spans="1:44" ht="32.1" customHeight="1" thickTop="1" thickBot="1" x14ac:dyDescent="0.3">
      <c r="A43" s="11"/>
      <c r="B43" s="158" t="s">
        <v>59</v>
      </c>
      <c r="C43" s="151" t="s">
        <v>49</v>
      </c>
      <c r="D43" s="179" t="s">
        <v>291</v>
      </c>
      <c r="E43" s="180"/>
      <c r="F43" s="44"/>
      <c r="G43" s="58" t="s">
        <v>60</v>
      </c>
      <c r="H43" s="89">
        <f>Calculations!H101</f>
        <v>713.8315582240765</v>
      </c>
      <c r="I43" s="149">
        <f>Calculations!I101</f>
        <v>726.55904995222909</v>
      </c>
      <c r="J43" s="89">
        <f>Calculations!J101</f>
        <v>675.82544245466579</v>
      </c>
      <c r="K43" s="89">
        <f>Calculations!K101</f>
        <v>719.79191872359092</v>
      </c>
      <c r="L43" s="89">
        <f>Calculations!L101</f>
        <v>767.71137688823706</v>
      </c>
      <c r="M43" s="89">
        <f>Calculations!M101</f>
        <v>819.11632134341721</v>
      </c>
      <c r="N43" s="89">
        <f>Calculations!N101</f>
        <v>873.54312317975143</v>
      </c>
      <c r="O43" s="89">
        <f>Calculations!O101</f>
        <v>905.92229003293903</v>
      </c>
      <c r="P43" s="150">
        <f>Calculations!P101</f>
        <v>969.10002871556514</v>
      </c>
      <c r="Q43" s="89">
        <f>Calculations!Q101</f>
        <v>1029.4655131824941</v>
      </c>
      <c r="R43" s="150">
        <f>Calculations!R101</f>
        <v>1086.5438609338869</v>
      </c>
      <c r="S43" s="89">
        <f>Calculations!S101</f>
        <v>1139.8624040691861</v>
      </c>
      <c r="T43" s="89">
        <f>Calculations!T101</f>
        <v>1188.9506892873685</v>
      </c>
      <c r="U43" s="56"/>
      <c r="V43" s="56"/>
      <c r="W43" s="56"/>
      <c r="X43" s="56"/>
      <c r="Y43" s="56"/>
      <c r="Z43" s="56"/>
      <c r="AA43" s="56"/>
      <c r="AB43" s="56"/>
      <c r="AC43" s="56"/>
      <c r="AD43" s="56"/>
      <c r="AE43" s="55"/>
      <c r="AG43" s="43"/>
      <c r="AH43" s="43"/>
      <c r="AI43" s="43"/>
      <c r="AJ43" s="43"/>
      <c r="AK43" s="43"/>
      <c r="AL43" s="43"/>
      <c r="AM43" s="43"/>
      <c r="AN43" s="43"/>
      <c r="AO43" s="43"/>
      <c r="AP43" s="43"/>
      <c r="AQ43" s="43"/>
      <c r="AR43" s="43"/>
    </row>
    <row r="44" spans="1:44" ht="16.5" thickTop="1" x14ac:dyDescent="0.25">
      <c r="A44" s="11"/>
      <c r="B44" s="11"/>
      <c r="C44" s="11"/>
      <c r="D44" s="11"/>
      <c r="E44" s="11"/>
      <c r="F44" s="44"/>
      <c r="G44" s="58" t="s">
        <v>61</v>
      </c>
      <c r="H44" s="89">
        <f>Calculations!H116</f>
        <v>1346.4606088105886</v>
      </c>
      <c r="I44" s="149">
        <f>Calculations!I116</f>
        <v>1195.795351797994</v>
      </c>
      <c r="J44" s="89">
        <f>Calculations!J116</f>
        <v>524.01538218885287</v>
      </c>
      <c r="K44" s="89">
        <f>Calculations!K116</f>
        <v>580.3771449201563</v>
      </c>
      <c r="L44" s="89">
        <f>Calculations!L116</f>
        <v>640.0971985498652</v>
      </c>
      <c r="M44" s="89">
        <f>Calculations!M116</f>
        <v>703.19358711917255</v>
      </c>
      <c r="N44" s="89">
        <f>Calculations!N116</f>
        <v>785.8346937950073</v>
      </c>
      <c r="O44" s="89">
        <f>Calculations!O116</f>
        <v>793.80166459433485</v>
      </c>
      <c r="P44" s="150">
        <f>Calculations!P116</f>
        <v>882.62380982557579</v>
      </c>
      <c r="Q44" s="89">
        <f>Calculations!Q116</f>
        <v>969.44987802968353</v>
      </c>
      <c r="R44" s="150">
        <f>Calculations!R116</f>
        <v>1054.286789033898</v>
      </c>
      <c r="S44" s="89">
        <f>Calculations!S116</f>
        <v>1137.1414626652411</v>
      </c>
      <c r="T44" s="89">
        <f>Calculations!T116</f>
        <v>1218.0208187509277</v>
      </c>
      <c r="U44" s="56"/>
      <c r="V44" s="56"/>
      <c r="W44" s="56"/>
      <c r="X44" s="56"/>
      <c r="Y44" s="56"/>
      <c r="Z44" s="56"/>
      <c r="AA44" s="56"/>
      <c r="AB44" s="56"/>
      <c r="AC44" s="56"/>
      <c r="AD44" s="56"/>
      <c r="AE44" s="55"/>
    </row>
    <row r="45" spans="1:44" ht="16.5" thickBot="1" x14ac:dyDescent="0.3">
      <c r="A45" s="11"/>
      <c r="B45" s="158" t="s">
        <v>62</v>
      </c>
      <c r="C45" s="6"/>
      <c r="D45" s="11"/>
      <c r="E45" s="11"/>
      <c r="F45" s="44"/>
      <c r="G45" s="56"/>
      <c r="H45" s="56"/>
      <c r="I45" s="56"/>
      <c r="J45" s="56"/>
      <c r="K45" s="56"/>
      <c r="L45" s="56"/>
      <c r="M45" s="56"/>
      <c r="N45" s="56"/>
      <c r="O45" s="56"/>
      <c r="P45" s="56"/>
      <c r="Q45" s="56"/>
      <c r="R45" s="56"/>
      <c r="S45" s="56"/>
      <c r="T45" s="56"/>
      <c r="U45" s="56"/>
      <c r="V45" s="56"/>
      <c r="W45" s="56"/>
      <c r="X45" s="56"/>
      <c r="Y45" s="56"/>
      <c r="Z45" s="56"/>
      <c r="AA45" s="56"/>
      <c r="AB45" s="56"/>
      <c r="AC45" s="56"/>
      <c r="AD45" s="56"/>
      <c r="AE45" s="55"/>
    </row>
    <row r="46" spans="1:44" ht="28.5" customHeight="1" thickTop="1" thickBot="1" x14ac:dyDescent="0.3">
      <c r="A46" s="11"/>
      <c r="B46" s="157" t="s">
        <v>44</v>
      </c>
      <c r="C46" s="8" t="s">
        <v>33</v>
      </c>
      <c r="D46" s="181" t="s">
        <v>63</v>
      </c>
      <c r="E46" s="180"/>
      <c r="F46" s="44"/>
      <c r="G46" s="59" t="str">
        <f>$H$3&amp;" - "&amp;G41</f>
        <v>2035 - Strategy 1: LSFO + bio-diesel (base case)</v>
      </c>
      <c r="H46" s="56"/>
      <c r="I46" s="56"/>
      <c r="J46" s="59" t="str">
        <f>$H$3&amp;" - "&amp;G42</f>
        <v>2035 - Strategy 2: LNG + bio-methane</v>
      </c>
      <c r="K46" s="56"/>
      <c r="L46" s="56"/>
      <c r="M46" s="59" t="str">
        <f>$H$3&amp;" - "&amp;G43</f>
        <v>2035 - Strategy 3: LSFO + ZNZ</v>
      </c>
      <c r="N46" s="56"/>
      <c r="O46" s="56"/>
      <c r="P46" s="59" t="str">
        <f>$H$3&amp;" - "&amp;G44</f>
        <v>2035 - Strategy 4: 100% ZNZ</v>
      </c>
      <c r="Q46" s="56"/>
      <c r="R46" s="60"/>
      <c r="S46" s="56"/>
      <c r="T46" s="56"/>
      <c r="U46" s="56"/>
      <c r="V46" s="56"/>
      <c r="W46" s="56"/>
      <c r="X46" s="56"/>
      <c r="Y46" s="56"/>
      <c r="Z46" s="56"/>
      <c r="AA46" s="56"/>
      <c r="AB46" s="56"/>
      <c r="AC46" s="56"/>
      <c r="AD46" s="56"/>
      <c r="AE46" s="55"/>
    </row>
    <row r="47" spans="1:44" ht="20.25" thickTop="1" thickBot="1" x14ac:dyDescent="0.3">
      <c r="A47" s="11"/>
      <c r="B47" s="157" t="str">
        <f>IF(C46="Enter Fixed Price","Enter fixed bio-methane price [USD/tLSFOeq] -&gt; ","")</f>
        <v/>
      </c>
      <c r="C47" s="7">
        <v>1300</v>
      </c>
      <c r="D47" s="9"/>
      <c r="E47" s="11"/>
      <c r="F47" s="11"/>
      <c r="G47" s="90" t="s">
        <v>64</v>
      </c>
      <c r="H47" s="89">
        <f>INDEX(Calculations!$C$51:$T$62,MATCH(G47,Calculations!$C$51:$C$62,0),MATCH($H$3,Calculations!$C$51:$T$51,0))</f>
        <v>540.94368932038833</v>
      </c>
      <c r="I47" s="90"/>
      <c r="J47" s="90" t="s">
        <v>65</v>
      </c>
      <c r="K47" s="89">
        <f>INDEX(Calculations!$C$66:$T$80,MATCH(J47,Calculations!$C$66:$C$80,0),MATCH($H$3,Calculations!$C$66:$T$66,0))</f>
        <v>457.63692788718186</v>
      </c>
      <c r="L47" s="90"/>
      <c r="M47" s="90" t="s">
        <v>64</v>
      </c>
      <c r="N47" s="89">
        <f>INDEX(Calculations!$C$84:$T$101,MATCH(M47,Calculations!$C$84:$C$101,0),MATCH($H$3,Calculations!$C$84:$T$84,0))</f>
        <v>540.94368932038833</v>
      </c>
      <c r="O47" s="90"/>
      <c r="P47" s="90" t="s">
        <v>66</v>
      </c>
      <c r="Q47" s="89">
        <f>INDEX(Calculations!$C$105:$T$116,MATCH(P47,Calculations!$C$105:$C$116,0),MATCH($H$3,Calculations!$C$105:$T$105,0))</f>
        <v>1551.7236205943186</v>
      </c>
      <c r="R47" s="60"/>
      <c r="S47" s="56"/>
      <c r="T47" s="56"/>
      <c r="U47" s="56"/>
      <c r="V47" s="56"/>
      <c r="W47" s="56"/>
      <c r="X47" s="56"/>
      <c r="Y47" s="56"/>
      <c r="Z47" s="56"/>
      <c r="AA47" s="56"/>
      <c r="AB47" s="56"/>
      <c r="AC47" s="56"/>
      <c r="AD47" s="56"/>
      <c r="AE47" s="55"/>
    </row>
    <row r="48" spans="1:44" ht="30" customHeight="1" thickTop="1" x14ac:dyDescent="0.25">
      <c r="A48" s="11"/>
      <c r="B48" s="159"/>
      <c r="C48" s="11"/>
      <c r="D48" s="11"/>
      <c r="E48" s="11"/>
      <c r="F48" s="11"/>
      <c r="G48" s="90" t="s">
        <v>295</v>
      </c>
      <c r="H48" s="89">
        <f>INDEX(Calculations!$C$51:$T$62,MATCH(G48,Calculations!$C$51:$C$62,0),MATCH($H$3,Calculations!$C$51:$T$51,0))</f>
        <v>463.13944836001639</v>
      </c>
      <c r="I48" s="90"/>
      <c r="J48" s="90" t="s">
        <v>67</v>
      </c>
      <c r="K48" s="89">
        <f>INDEX(Calculations!$C$66:$T$80,MATCH(J48,Calculations!$C$66:$C$80,0),MATCH($H$3,Calculations!$C$66:$T$66,0))</f>
        <v>181.15609812001622</v>
      </c>
      <c r="L48" s="90"/>
      <c r="M48" s="90" t="s">
        <v>68</v>
      </c>
      <c r="N48" s="89">
        <f>INDEX(Calculations!$C$84:$T$101,MATCH(M48,Calculations!$C$84:$C$101,0),MATCH($H$3,Calculations!$C$84:$T$84,0))</f>
        <v>375.4213731293857</v>
      </c>
      <c r="O48" s="90"/>
      <c r="P48" s="90" t="s">
        <v>69</v>
      </c>
      <c r="Q48" s="89">
        <f>Q47-Q51-Q52</f>
        <v>793.80166459433485</v>
      </c>
      <c r="R48" s="60"/>
      <c r="S48" s="56"/>
      <c r="T48" s="56"/>
      <c r="U48" s="56"/>
      <c r="V48" s="56"/>
      <c r="W48" s="56"/>
      <c r="X48" s="56"/>
      <c r="Y48" s="56"/>
      <c r="Z48" s="56"/>
      <c r="AA48" s="56"/>
      <c r="AB48" s="56"/>
      <c r="AC48" s="56"/>
      <c r="AD48" s="56"/>
      <c r="AE48" s="55"/>
    </row>
    <row r="49" spans="1:31" ht="18.75" x14ac:dyDescent="0.25">
      <c r="A49" s="11"/>
      <c r="B49" s="156" t="s">
        <v>70</v>
      </c>
      <c r="C49" s="3"/>
      <c r="D49" s="4" t="s">
        <v>71</v>
      </c>
      <c r="E49" s="3"/>
      <c r="F49" s="3"/>
      <c r="G49" s="90" t="s">
        <v>294</v>
      </c>
      <c r="H49" s="89">
        <f>INDEX(Calculations!$C$51:$T$62,MATCH(G49,Calculations!$C$51:$C$62,0),MATCH($H$3,Calculations!$C$51:$T$51,0))</f>
        <v>48.758579999999988</v>
      </c>
      <c r="I49" s="90"/>
      <c r="J49" s="90" t="s">
        <v>294</v>
      </c>
      <c r="K49" s="89">
        <f>INDEX(Calculations!$C$66:$T$80,MATCH(J49,Calculations!$C$66:$C$80,0),MATCH($H$3,Calculations!$C$66:$T$66,0))</f>
        <v>48.758579999999988</v>
      </c>
      <c r="L49" s="90"/>
      <c r="M49" s="90" t="s">
        <v>294</v>
      </c>
      <c r="N49" s="89">
        <f>INDEX(Calculations!$C$84:$T$101,MATCH(M49,Calculations!$C$84:$C$101,0),MATCH($H$3,Calculations!$C$84:$T$84,0))</f>
        <v>48.758579999999988</v>
      </c>
      <c r="O49" s="90"/>
      <c r="P49" s="90" t="s">
        <v>72</v>
      </c>
      <c r="Q49" s="89">
        <f>INDEX(Calculations!$C$105:$T$116,MATCH(P49,Calculations!$C$105:$C$116,0),MATCH($H$3,Calculations!$C$105:$T$105,0))</f>
        <v>0</v>
      </c>
      <c r="R49" s="60"/>
      <c r="S49" s="56"/>
      <c r="T49" s="56"/>
      <c r="U49" s="56"/>
      <c r="V49" s="56"/>
      <c r="W49" s="56"/>
      <c r="X49" s="56"/>
      <c r="Y49" s="56"/>
      <c r="Z49" s="56"/>
      <c r="AA49" s="56"/>
      <c r="AB49" s="56"/>
      <c r="AC49" s="56"/>
      <c r="AD49" s="56"/>
      <c r="AE49" s="55"/>
    </row>
    <row r="50" spans="1:31" ht="15.6" customHeight="1" thickBot="1" x14ac:dyDescent="0.3">
      <c r="A50" s="11"/>
      <c r="B50" s="158" t="s">
        <v>73</v>
      </c>
      <c r="C50" s="124" t="str">
        <f>IF(AND(H3&lt;2035,C51="Enter my own",C52&gt;19),"Warning: Chosen ZNZ emission factor exceeds the 19gCO2eq/MJ threshold and is ineligible for rewards",IF(AND(H3&gt;2034,C51="Enter my own",C52&gt;14),"Warning: Chosen ZNZ emission factor exceeds the 14gCO2eq/MJ threshold and is ineligible for rewards",""))</f>
        <v/>
      </c>
      <c r="D50" s="11"/>
      <c r="E50" s="11"/>
      <c r="F50" s="44"/>
      <c r="G50" s="91" t="s">
        <v>74</v>
      </c>
      <c r="H50" s="89">
        <f>INDEX(Calculations!$C$51:$T$62,MATCH(G50,Calculations!$C$51:$C$62,0),MATCH($H$3,Calculations!$C$51:$T$51,0))</f>
        <v>1052.8417176804046</v>
      </c>
      <c r="I50" s="90"/>
      <c r="J50" s="91" t="s">
        <v>296</v>
      </c>
      <c r="K50" s="89">
        <f>INDEX(Calculations!$C$66:$T$80,MATCH(J50,Calculations!$C$66:$C$80,0),MATCH($H$3,Calculations!$C$66:$T$66,0))</f>
        <v>0</v>
      </c>
      <c r="L50" s="90"/>
      <c r="M50" s="91" t="s">
        <v>76</v>
      </c>
      <c r="N50" s="89">
        <f>INDEX(Calculations!$C$84:$T$101,MATCH(M50,Calculations!$C$84:$C$101,0),MATCH($H$3,Calculations!$C$84:$T$84,0))</f>
        <v>3.9649999999999999</v>
      </c>
      <c r="O50" s="90"/>
      <c r="P50" s="90" t="s">
        <v>77</v>
      </c>
      <c r="Q50" s="89">
        <f>INDEX(Calculations!$C$105:$T$116,MATCH(P50,Calculations!$C$105:$C$116,0),MATCH($H$3,Calculations!$C$105:$T$105,0))</f>
        <v>0</v>
      </c>
      <c r="R50" s="60"/>
      <c r="S50" s="56"/>
      <c r="T50" s="56"/>
      <c r="U50" s="56"/>
      <c r="V50" s="56"/>
      <c r="W50" s="56"/>
      <c r="X50" s="56"/>
      <c r="Y50" s="56"/>
      <c r="Z50" s="56"/>
      <c r="AA50" s="56"/>
      <c r="AB50" s="56"/>
      <c r="AC50" s="56"/>
      <c r="AD50" s="56"/>
      <c r="AE50" s="55"/>
    </row>
    <row r="51" spans="1:31" ht="33" customHeight="1" thickTop="1" thickBot="1" x14ac:dyDescent="0.3">
      <c r="A51" s="11"/>
      <c r="B51" s="160" t="s">
        <v>285</v>
      </c>
      <c r="C51" s="5" t="s">
        <v>31</v>
      </c>
      <c r="D51" s="181" t="s">
        <v>279</v>
      </c>
      <c r="E51" s="180"/>
      <c r="F51" s="44"/>
      <c r="G51" s="92" t="str">
        <f>G50&amp;" = "&amp;ROUND(H50,0)&amp;" USD/tLSFOeq"</f>
        <v>Total S1 = 1053 USD/tLSFOeq</v>
      </c>
      <c r="H51" s="90"/>
      <c r="I51" s="90"/>
      <c r="J51" s="90" t="s">
        <v>78</v>
      </c>
      <c r="K51" s="89">
        <f>INDEX(Calculations!$C$66:$T$80,MATCH(J51,Calculations!$C$66:$C$80,0),MATCH($H$3,Calculations!$C$66:$T$66,0))</f>
        <v>687.55160600719796</v>
      </c>
      <c r="L51" s="90"/>
      <c r="M51" s="90" t="s">
        <v>79</v>
      </c>
      <c r="N51" s="89">
        <f>INDEX(Calculations!$C$84:$T$101,MATCH(M51,Calculations!$C$84:$C$101,0),MATCH($H$3,Calculations!$C$84:$T$84,0))</f>
        <v>905.92229003293903</v>
      </c>
      <c r="O51" s="90"/>
      <c r="P51" s="90" t="s">
        <v>296</v>
      </c>
      <c r="Q51" s="89">
        <f>ABS(INDEX(Calculations!$C$105:$T$116,MATCH(P51,Calculations!$C$105:$C$116,0),MATCH($H$3,Calculations!$C$105:$T$105,0)))</f>
        <v>598.52895599998385</v>
      </c>
      <c r="R51" s="60"/>
      <c r="S51" s="56"/>
      <c r="T51" s="56"/>
      <c r="U51" s="56"/>
      <c r="V51" s="56"/>
      <c r="W51" s="56"/>
      <c r="X51" s="56"/>
      <c r="Y51" s="56"/>
      <c r="Z51" s="56"/>
      <c r="AA51" s="56"/>
      <c r="AB51" s="56"/>
      <c r="AC51" s="56"/>
      <c r="AD51" s="56"/>
      <c r="AE51" s="55"/>
    </row>
    <row r="52" spans="1:31" ht="33" customHeight="1" thickTop="1" thickBot="1" x14ac:dyDescent="0.3">
      <c r="A52" s="11"/>
      <c r="B52" s="157" t="str">
        <f>IF(C51="Enter my own","Enter ZNZ emissions factor [gCO2eq/MJ] -&gt; ","")</f>
        <v/>
      </c>
      <c r="C52" s="38">
        <v>10</v>
      </c>
      <c r="D52" s="181" t="str">
        <f>IF(C51="Enter my own","The 10 gCO₂e/MJ shown is a placeholder, not a recommendation. To earn rewards, fuels must be &lt;19 gCO₂e/MJ (pre-2035) or &lt;14 gCO₂e/MJ (post-2035). Enter actual values from your supplier where available.","")</f>
        <v/>
      </c>
      <c r="E52" s="180"/>
      <c r="F52" s="44"/>
      <c r="G52" s="90"/>
      <c r="H52" s="90"/>
      <c r="I52" s="90"/>
      <c r="J52" s="92" t="str">
        <f>J51&amp;" = "&amp;ROUND(K51,0)&amp;" USD/tLSFOeq"</f>
        <v>Total S2 = 688 USD/tLSFOeq</v>
      </c>
      <c r="K52" s="93"/>
      <c r="L52" s="90"/>
      <c r="M52" s="92" t="str">
        <f>M51&amp;" = "&amp;ROUND(N51,0)&amp;" USD/tLSFOeq"</f>
        <v>Total S3 = 906 USD/tLSFOeq</v>
      </c>
      <c r="N52" s="90"/>
      <c r="O52" s="90"/>
      <c r="P52" s="90" t="s">
        <v>76</v>
      </c>
      <c r="Q52" s="89">
        <f>ABS(INDEX(Calculations!$C$105:$T$116,MATCH(P52,Calculations!$C$105:$C$116,0),MATCH($H$3,Calculations!$C$105:$T$105,0)))</f>
        <v>159.39299999999997</v>
      </c>
      <c r="R52" s="60"/>
      <c r="S52" s="56"/>
      <c r="T52" s="56"/>
      <c r="U52" s="56"/>
      <c r="V52" s="56"/>
      <c r="W52" s="56"/>
      <c r="X52" s="56"/>
      <c r="Y52" s="56"/>
      <c r="Z52" s="56"/>
      <c r="AA52" s="56"/>
      <c r="AB52" s="56"/>
      <c r="AC52" s="56"/>
      <c r="AD52" s="56"/>
      <c r="AE52" s="55"/>
    </row>
    <row r="53" spans="1:31" ht="47.45" customHeight="1" thickTop="1" thickBot="1" x14ac:dyDescent="0.3">
      <c r="A53" s="11"/>
      <c r="B53" s="157" t="s">
        <v>80</v>
      </c>
      <c r="C53" s="8" t="s">
        <v>39</v>
      </c>
      <c r="D53" s="181" t="s">
        <v>304</v>
      </c>
      <c r="E53" s="180"/>
      <c r="F53" s="44"/>
      <c r="G53" s="90"/>
      <c r="H53" s="90"/>
      <c r="I53" s="90"/>
      <c r="J53" s="94"/>
      <c r="K53" s="94"/>
      <c r="L53" s="90"/>
      <c r="M53" s="94"/>
      <c r="N53" s="94"/>
      <c r="O53" s="90"/>
      <c r="P53" s="90" t="s">
        <v>81</v>
      </c>
      <c r="Q53" s="89">
        <f>INDEX(Calculations!$C$105:$T$116,MATCH(P53,Calculations!$C$105:$C$116,0),MATCH($H$3,Calculations!$C$105:$T$105,0))</f>
        <v>793.80166459433485</v>
      </c>
      <c r="R53" s="60"/>
      <c r="S53" s="60"/>
      <c r="T53" s="60"/>
      <c r="U53" s="60"/>
      <c r="V53" s="56"/>
      <c r="W53" s="56"/>
      <c r="X53" s="56"/>
      <c r="Y53" s="56"/>
      <c r="Z53" s="56"/>
      <c r="AA53" s="56"/>
      <c r="AB53" s="56"/>
      <c r="AC53" s="56"/>
      <c r="AD53" s="56"/>
      <c r="AE53" s="55"/>
    </row>
    <row r="54" spans="1:31" ht="30.95" customHeight="1" thickTop="1" thickBot="1" x14ac:dyDescent="0.3">
      <c r="A54" s="11"/>
      <c r="B54" s="160" t="str">
        <f>IF(C53="Enter fixed price","Enter a fixed ZNZ price in USD per tonnes of LSFO equivalence -&gt;  ","")</f>
        <v/>
      </c>
      <c r="C54" s="38">
        <v>2000</v>
      </c>
      <c r="D54" s="181" t="str">
        <f>IF(C53="Enter fixed price","A fixed price assumes one price through 2050, reflecting a long-term 23 year offtake agreement. Make sure to convert USD/tonne to USD/tLSFOeq","")</f>
        <v/>
      </c>
      <c r="E54" s="180"/>
      <c r="F54" s="44"/>
      <c r="G54" s="94"/>
      <c r="H54" s="94"/>
      <c r="I54" s="94"/>
      <c r="J54" s="94"/>
      <c r="K54" s="94"/>
      <c r="L54" s="94"/>
      <c r="M54" s="94"/>
      <c r="N54" s="94"/>
      <c r="O54" s="94"/>
      <c r="P54" s="92" t="str">
        <f>P53&amp;" = "&amp;ROUND(Q53,0)&amp;" USD/tLSFOeq"</f>
        <v>Total S4 = 794 USD/tLSFOeq</v>
      </c>
      <c r="Q54" s="94"/>
      <c r="R54" s="60"/>
      <c r="S54" s="60"/>
      <c r="T54" s="60"/>
      <c r="U54" s="60"/>
      <c r="V54" s="56"/>
      <c r="W54" s="56"/>
      <c r="X54" s="56"/>
      <c r="Y54" s="56"/>
      <c r="Z54" s="56"/>
      <c r="AA54" s="56"/>
      <c r="AB54" s="56"/>
      <c r="AC54" s="56"/>
      <c r="AD54" s="56"/>
      <c r="AE54" s="55"/>
    </row>
    <row r="55" spans="1:31" ht="28.5" customHeight="1" thickTop="1" x14ac:dyDescent="0.25">
      <c r="A55" s="10"/>
      <c r="B55" s="11"/>
      <c r="C55" s="11"/>
      <c r="D55" s="11"/>
      <c r="E55" s="11"/>
      <c r="F55" s="44"/>
      <c r="G55" s="56"/>
      <c r="H55" s="56"/>
      <c r="I55" s="56"/>
      <c r="J55" s="56"/>
      <c r="K55" s="56"/>
      <c r="L55" s="56"/>
      <c r="M55" s="56"/>
      <c r="N55" s="56"/>
      <c r="O55" s="56"/>
      <c r="P55" s="56"/>
      <c r="Q55" s="56"/>
      <c r="R55" s="56"/>
      <c r="S55" s="56"/>
      <c r="T55" s="56"/>
      <c r="U55" s="56"/>
      <c r="V55" s="56"/>
      <c r="W55" s="56"/>
      <c r="X55" s="56"/>
      <c r="Y55" s="56"/>
      <c r="Z55" s="56"/>
      <c r="AA55" s="56"/>
      <c r="AB55" s="56"/>
      <c r="AC55" s="56"/>
      <c r="AD55" s="56"/>
      <c r="AE55" s="55"/>
    </row>
    <row r="56" spans="1:31" ht="21.95" customHeight="1" x14ac:dyDescent="0.25">
      <c r="A56" s="11"/>
      <c r="B56" s="11"/>
      <c r="C56" s="11"/>
      <c r="D56" s="11"/>
      <c r="E56" s="11"/>
      <c r="F56" s="11"/>
      <c r="G56" s="94"/>
      <c r="H56" s="94"/>
      <c r="I56" s="94"/>
      <c r="J56" s="94"/>
      <c r="K56" s="94"/>
      <c r="L56" s="94"/>
      <c r="M56" s="94"/>
      <c r="N56" s="94"/>
      <c r="O56" s="94"/>
      <c r="P56" s="94"/>
      <c r="Q56" s="94"/>
      <c r="R56" s="60"/>
      <c r="S56" s="60"/>
      <c r="T56" s="60"/>
      <c r="U56" s="60"/>
      <c r="V56" s="60"/>
      <c r="W56" s="60"/>
      <c r="X56" s="60"/>
      <c r="Y56" s="60"/>
      <c r="Z56" s="60"/>
      <c r="AA56" s="60"/>
      <c r="AB56" s="60"/>
      <c r="AC56" s="60"/>
      <c r="AD56" s="60"/>
      <c r="AE56" s="60"/>
    </row>
    <row r="57" spans="1:31" ht="39" customHeight="1" x14ac:dyDescent="0.25">
      <c r="B57" s="13" t="e" vm="1">
        <v>#VALUE!</v>
      </c>
      <c r="C57" s="13"/>
    </row>
    <row r="58" spans="1:31" x14ac:dyDescent="0.25">
      <c r="C58" s="13"/>
    </row>
    <row r="59" spans="1:31" x14ac:dyDescent="0.25">
      <c r="C59" s="13"/>
    </row>
    <row r="60" spans="1:31" x14ac:dyDescent="0.25">
      <c r="C60" s="13"/>
    </row>
    <row r="63" spans="1:31" x14ac:dyDescent="0.25">
      <c r="G63" s="1"/>
    </row>
    <row r="64" spans="1:31" x14ac:dyDescent="0.25">
      <c r="G64"/>
    </row>
    <row r="65" spans="7:7" x14ac:dyDescent="0.25">
      <c r="G65"/>
    </row>
    <row r="66" spans="7:7" x14ac:dyDescent="0.25">
      <c r="G66"/>
    </row>
    <row r="67" spans="7:7" x14ac:dyDescent="0.25">
      <c r="G67"/>
    </row>
  </sheetData>
  <sheetProtection formatCells="0" formatColumns="0" formatRows="0" insertColumns="0" insertRows="0" insertHyperlinks="0" deleteColumns="0" deleteRows="0" selectLockedCells="1" sort="0" autoFilter="0" pivotTables="0"/>
  <mergeCells count="22">
    <mergeCell ref="D51:E51"/>
    <mergeCell ref="D38:E38"/>
    <mergeCell ref="D54:E54"/>
    <mergeCell ref="B25:E25"/>
    <mergeCell ref="D52:E52"/>
    <mergeCell ref="D29:E29"/>
    <mergeCell ref="D43:E43"/>
    <mergeCell ref="D46:E46"/>
    <mergeCell ref="D53:E53"/>
    <mergeCell ref="B36:E36"/>
    <mergeCell ref="H3:I3"/>
    <mergeCell ref="J3:M3"/>
    <mergeCell ref="B3:E3"/>
    <mergeCell ref="B6:E6"/>
    <mergeCell ref="B7:E7"/>
    <mergeCell ref="B4:E4"/>
    <mergeCell ref="B5:E5"/>
    <mergeCell ref="D17:E17"/>
    <mergeCell ref="D20:E22"/>
    <mergeCell ref="B8:E8"/>
    <mergeCell ref="B9:E9"/>
    <mergeCell ref="D14:E15"/>
  </mergeCells>
  <phoneticPr fontId="46" type="noConversion"/>
  <conditionalFormatting sqref="C15">
    <cfRule type="expression" dxfId="6" priority="2">
      <formula>$C$14&lt;&gt;"Enter Tier 2 RU Price (from 2031)"</formula>
    </cfRule>
  </conditionalFormatting>
  <conditionalFormatting sqref="C28">
    <cfRule type="expression" dxfId="5" priority="22">
      <formula>$C$27&lt;&gt;"Enter Fixed Price"</formula>
    </cfRule>
  </conditionalFormatting>
  <conditionalFormatting sqref="C33">
    <cfRule type="expression" dxfId="4" priority="15">
      <formula>$C$32&lt;&gt;"Enter Fixed Price"</formula>
    </cfRule>
  </conditionalFormatting>
  <conditionalFormatting sqref="C40">
    <cfRule type="expression" dxfId="3" priority="1">
      <formula>$C$39&lt;&gt;"Enter fixed price"</formula>
    </cfRule>
  </conditionalFormatting>
  <conditionalFormatting sqref="C47">
    <cfRule type="expression" dxfId="2" priority="16">
      <formula>$C$46&lt;&gt;"Enter Fixed Price"</formula>
    </cfRule>
  </conditionalFormatting>
  <conditionalFormatting sqref="C52">
    <cfRule type="expression" dxfId="1" priority="6">
      <formula>$C$51&lt;&gt;"Enter my own"</formula>
    </cfRule>
  </conditionalFormatting>
  <conditionalFormatting sqref="C54">
    <cfRule type="expression" dxfId="0" priority="5">
      <formula>$C$53&lt;&gt;"Enter fixed price"</formula>
    </cfRule>
  </conditionalFormatting>
  <dataValidations xWindow="747" yWindow="764" count="15">
    <dataValidation type="whole" operator="greaterThan" allowBlank="1" showInputMessage="1" showErrorMessage="1" promptTitle="Enter LSFO cost estimate" prompt="USD/tonne" sqref="C28" xr:uid="{AA68C900-AD2F-4CC6-A47B-DCD8F3C8B9AF}">
      <formula1>0</formula1>
    </dataValidation>
    <dataValidation type="list" allowBlank="1" showInputMessage="1" showErrorMessage="1" sqref="H3" xr:uid="{F080A2E3-0F5D-4C18-8C63-6F291D4FCFEF}">
      <formula1>$H$40:$T$40</formula1>
    </dataValidation>
    <dataValidation type="list" allowBlank="1" showInputMessage="1" showErrorMessage="1" sqref="C18" xr:uid="{1B1ECE36-8016-45AC-B89C-62A1CE259DAE}">
      <formula1>$AC$13:$AC$15</formula1>
    </dataValidation>
    <dataValidation type="list" allowBlank="1" showInputMessage="1" showErrorMessage="1" sqref="C27" xr:uid="{EA980A7D-1811-4EE7-8DB3-B0818295F816}">
      <formula1>$AC$16:$AC$17</formula1>
    </dataValidation>
    <dataValidation type="list" allowBlank="1" showInputMessage="1" showErrorMessage="1" sqref="C38" xr:uid="{B71195E6-1BE8-45C5-933E-8B5F8D393709}">
      <formula1>$AC$26:$AC$27</formula1>
    </dataValidation>
    <dataValidation type="list" allowBlank="1" showInputMessage="1" showErrorMessage="1" sqref="C32" xr:uid="{4B520E5F-7E2F-4FB7-9501-47620CD50C66}">
      <formula1>$AC$20:$AC$23</formula1>
    </dataValidation>
    <dataValidation type="list" allowBlank="1" showInputMessage="1" showErrorMessage="1" sqref="C39" xr:uid="{A6E08088-F412-4936-A2E6-B9399C7B1D52}">
      <formula1>$AC$18:$AC$19</formula1>
    </dataValidation>
    <dataValidation type="list" allowBlank="1" showInputMessage="1" showErrorMessage="1" sqref="C46" xr:uid="{A4BFB88A-B898-426C-834A-6BC5547CE784}">
      <formula1>$AC$24:$AC$25</formula1>
    </dataValidation>
    <dataValidation type="list" allowBlank="1" showInputMessage="1" showErrorMessage="1" sqref="C20:C22" xr:uid="{ACF9FF39-A18B-4013-9CAD-3D67F3A90B83}">
      <formula1>$AD$20:$AD$21</formula1>
    </dataValidation>
    <dataValidation type="list" allowBlank="1" showInputMessage="1" showErrorMessage="1" sqref="C51" xr:uid="{7F4EC9D6-08C6-4643-88E6-437D852E24D3}">
      <formula1>$AD$22:$AD$23</formula1>
    </dataValidation>
    <dataValidation type="list" allowBlank="1" showInputMessage="1" showErrorMessage="1" sqref="C14" xr:uid="{7236E376-7208-4B18-9CC6-8B2B4C94B1FD}">
      <formula1>$AD$24:$AD$25</formula1>
    </dataValidation>
    <dataValidation type="list" allowBlank="1" showInputMessage="1" showErrorMessage="1" sqref="C53" xr:uid="{4D601F2D-B9F0-4551-BD04-499C57C774EA}">
      <formula1>$AC$28:$AC$31</formula1>
    </dataValidation>
    <dataValidation type="list" allowBlank="1" showInputMessage="1" showErrorMessage="1" sqref="C29" xr:uid="{9C27338C-9FEA-4801-817B-3696DC13ACA2}">
      <formula1>$AD$32:$AD$33</formula1>
    </dataValidation>
    <dataValidation type="list" allowBlank="1" showInputMessage="1" showErrorMessage="1" sqref="C43" xr:uid="{4F091973-4886-4947-8D96-EC9C9FBB9627}">
      <formula1>$AD$34:$AD$35</formula1>
    </dataValidation>
    <dataValidation type="list" allowBlank="1" showInputMessage="1" showErrorMessage="1" sqref="C17" xr:uid="{AE5D1BD1-2438-4BF7-83F9-AB3DE54802FB}">
      <formula1>$AC$32:$AC$36</formula1>
    </dataValidation>
  </dataValidations>
  <hyperlinks>
    <hyperlink ref="D32" r:id="rId1" display="LR &amp; UMAS, 2021" xr:uid="{7C900921-1927-4F6B-B152-D630FF994F58}"/>
    <hyperlink ref="D27" r:id="rId2" xr:uid="{09D28835-42E5-48C8-9BA2-4A2760974791}"/>
    <hyperlink ref="D39" r:id="rId3" xr:uid="{69022479-026D-414B-80DB-7AAF659EFD1D}"/>
    <hyperlink ref="B5:E5" r:id="rId4" display="MMMCZCS IMO Knowledge Hub Link" xr:uid="{69A53928-A666-463F-9E9E-F10A05F5C56F}"/>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09552-F634-4F06-85CA-446569EC0291}">
  <sheetPr>
    <tabColor rgb="FFA3C5BF"/>
  </sheetPr>
  <dimension ref="B2:V425"/>
  <sheetViews>
    <sheetView showGridLines="0" topLeftCell="A97" zoomScale="90" zoomScaleNormal="90" workbookViewId="0">
      <selection activeCell="H109" sqref="H109"/>
    </sheetView>
  </sheetViews>
  <sheetFormatPr defaultRowHeight="15" x14ac:dyDescent="0.25"/>
  <cols>
    <col min="2" max="2" width="8.85546875" style="66" customWidth="1"/>
    <col min="3" max="3" width="53.42578125" customWidth="1"/>
    <col min="4" max="4" width="21.5703125" style="67" customWidth="1"/>
    <col min="5" max="5" width="29.140625" style="67" customWidth="1"/>
    <col min="6" max="6" width="23.85546875" style="68" customWidth="1"/>
    <col min="7" max="7" width="20.85546875" style="68" bestFit="1" customWidth="1"/>
    <col min="8" max="8" width="13" customWidth="1"/>
    <col min="9" max="9" width="11.140625" bestFit="1" customWidth="1"/>
    <col min="10" max="10" width="12.7109375" bestFit="1" customWidth="1"/>
    <col min="11" max="21" width="11.140625" bestFit="1" customWidth="1"/>
  </cols>
  <sheetData>
    <row r="2" spans="2:20" x14ac:dyDescent="0.25">
      <c r="C2" s="16" t="s">
        <v>82</v>
      </c>
      <c r="D2" s="32"/>
      <c r="E2" s="19"/>
      <c r="F2" s="15"/>
      <c r="G2" s="15"/>
      <c r="H2" s="13"/>
    </row>
    <row r="3" spans="2:20" x14ac:dyDescent="0.25">
      <c r="C3" s="35" t="s">
        <v>83</v>
      </c>
      <c r="D3" s="121" t="s">
        <v>84</v>
      </c>
      <c r="E3" s="69" t="s">
        <v>71</v>
      </c>
      <c r="F3" s="69" t="s">
        <v>85</v>
      </c>
      <c r="G3" s="28" t="s">
        <v>86</v>
      </c>
      <c r="H3" s="101">
        <v>2028</v>
      </c>
      <c r="I3" s="101">
        <v>2029</v>
      </c>
      <c r="J3" s="101">
        <v>2030</v>
      </c>
      <c r="K3" s="101">
        <v>2031</v>
      </c>
      <c r="L3" s="101">
        <v>2032</v>
      </c>
      <c r="M3" s="101">
        <v>2033</v>
      </c>
      <c r="N3" s="101">
        <v>2034</v>
      </c>
      <c r="O3" s="101">
        <v>2035</v>
      </c>
      <c r="P3" s="100">
        <v>2036</v>
      </c>
      <c r="Q3" s="100">
        <v>2037</v>
      </c>
      <c r="R3" s="101">
        <v>2038</v>
      </c>
      <c r="S3" s="101">
        <v>2039</v>
      </c>
      <c r="T3" s="101">
        <v>2040</v>
      </c>
    </row>
    <row r="4" spans="2:20" x14ac:dyDescent="0.25">
      <c r="C4" s="13" t="s">
        <v>87</v>
      </c>
      <c r="D4" s="122"/>
      <c r="E4" s="19" t="s">
        <v>88</v>
      </c>
      <c r="F4" s="71" t="s">
        <v>89</v>
      </c>
      <c r="G4" s="15" t="s">
        <v>90</v>
      </c>
      <c r="H4" s="123">
        <f>Data!$D$7*(1-INDEX(Data!$B$12:$AA$21,MATCH($C$4,Data!$B$12:$B$21,0),MATCH(H$3,Data!$B$12:$AA$12,0)))</f>
        <v>89.567999999999998</v>
      </c>
      <c r="I4" s="102">
        <f>Data!$D$7*(1-INDEX(Data!$B$12:$AA$21,MATCH($C$4,Data!$B$12:$B$21,0),MATCH(I$3,Data!$B$12:$AA$12,0)))</f>
        <v>87.701999999999998</v>
      </c>
      <c r="J4" s="102">
        <f>Data!$D$7*(1-INDEX(Data!$B$12:$AA$21,MATCH($C$4,Data!$B$12:$B$21,0),MATCH(J$3,Data!$B$12:$AA$12,0)))</f>
        <v>85.835999999999999</v>
      </c>
      <c r="K4" s="102">
        <f>Data!$D$7*(1-INDEX(Data!$B$12:$AA$21,MATCH($C$4,Data!$B$12:$B$21,0),MATCH(K$3,Data!$B$12:$AA$12,0)))</f>
        <v>81.730800000000002</v>
      </c>
      <c r="L4" s="102">
        <f>Data!$D$7*(1-INDEX(Data!$B$12:$AA$21,MATCH($C$4,Data!$B$12:$B$21,0),MATCH(L$3,Data!$B$12:$AA$12,0)))</f>
        <v>77.625599999999991</v>
      </c>
      <c r="M4" s="102">
        <f>Data!$D$7*(1-INDEX(Data!$B$12:$AA$21,MATCH($C$4,Data!$B$12:$B$21,0),MATCH(M$3,Data!$B$12:$AA$12,0)))</f>
        <v>73.520399999999995</v>
      </c>
      <c r="N4" s="102">
        <f>Data!$D$7*(1-INDEX(Data!$B$12:$AA$21,MATCH($C$4,Data!$B$12:$B$21,0),MATCH(N$3,Data!$B$12:$AA$12,0)))</f>
        <v>69.415199999999999</v>
      </c>
      <c r="O4" s="102">
        <f>Data!$D$7*(1-INDEX(Data!$B$12:$AA$21,MATCH($C$4,Data!$B$12:$B$21,0),MATCH(O$3,Data!$B$12:$AA$12,0)))</f>
        <v>65.309999999998936</v>
      </c>
      <c r="P4" s="102">
        <f>Data!$D$7*(1-INDEX(Data!$B$12:$AA$21,MATCH($C$4,Data!$B$12:$B$21,0),MATCH(P$3,Data!$B$12:$AA$12,0)))</f>
        <v>58.778999999999577</v>
      </c>
      <c r="Q4" s="102">
        <f>Data!$D$7*(1-INDEX(Data!$B$12:$AA$21,MATCH($C$4,Data!$B$12:$B$21,0),MATCH(Q$3,Data!$B$12:$AA$12,0)))</f>
        <v>52.248000000000211</v>
      </c>
      <c r="R4" s="102">
        <f>Data!$D$7*(1-INDEX(Data!$B$12:$AA$21,MATCH($C$4,Data!$B$12:$B$21,0),MATCH(R$3,Data!$B$12:$AA$12,0)))</f>
        <v>45.716999999998194</v>
      </c>
      <c r="S4" s="102">
        <f>Data!$D$7*(1-INDEX(Data!$B$12:$AA$21,MATCH($C$4,Data!$B$12:$B$21,0),MATCH(S$3,Data!$B$12:$AA$12,0)))</f>
        <v>39.185999999998835</v>
      </c>
      <c r="T4" s="102">
        <f>Data!$D$7*(1-INDEX(Data!$B$12:$AA$21,MATCH($C$4,Data!$B$12:$B$21,0),MATCH(T$3,Data!$B$12:$AA$12,0)))</f>
        <v>32.654999999999468</v>
      </c>
    </row>
    <row r="5" spans="2:20" x14ac:dyDescent="0.25">
      <c r="C5" s="13" t="s">
        <v>91</v>
      </c>
      <c r="D5" s="120"/>
      <c r="E5" s="19" t="s">
        <v>88</v>
      </c>
      <c r="F5" s="71"/>
      <c r="G5" s="15" t="s">
        <v>90</v>
      </c>
      <c r="H5" s="123">
        <f>Data!$D$7*(1-INDEX(Data!$B$12:$AA$21,MATCH($C$5,Data!$B$12:$B$21,0),MATCH(H$3,Data!$B$12:$AA$12,0)))</f>
        <v>77.438999999999993</v>
      </c>
      <c r="I5" s="102">
        <f>Data!$D$7*(1-INDEX(Data!$B$12:$AA$21,MATCH($C$5,Data!$B$12:$B$21,0),MATCH(I$3,Data!$B$12:$AA$12,0)))</f>
        <v>75.572999999999993</v>
      </c>
      <c r="J5" s="102">
        <f>Data!$D$7*(1-INDEX(Data!$B$12:$AA$21,MATCH($C$5,Data!$B$12:$B$21,0),MATCH(J$3,Data!$B$12:$AA$12,0)))</f>
        <v>73.707000000000008</v>
      </c>
      <c r="K5" s="102">
        <f>Data!$D$7*(1-INDEX(Data!$B$12:$AA$21,MATCH($C$5,Data!$B$12:$B$21,0),MATCH(K$3,Data!$B$12:$AA$12,0)))</f>
        <v>69.601799999999997</v>
      </c>
      <c r="L5" s="102">
        <f>Data!$D$7*(1-INDEX(Data!$B$12:$AA$21,MATCH($C$5,Data!$B$12:$B$21,0),MATCH(L$3,Data!$B$12:$AA$12,0)))</f>
        <v>65.496600000000001</v>
      </c>
      <c r="M5" s="102">
        <f>Data!$D$7*(1-INDEX(Data!$B$12:$AA$21,MATCH($C$5,Data!$B$12:$B$21,0),MATCH(M$3,Data!$B$12:$AA$12,0)))</f>
        <v>61.391400000000004</v>
      </c>
      <c r="N5" s="102">
        <f>Data!$D$7*(1-INDEX(Data!$B$12:$AA$21,MATCH($C$5,Data!$B$12:$B$21,0),MATCH(N$3,Data!$B$12:$AA$12,0)))</f>
        <v>57.286199999999994</v>
      </c>
      <c r="O5" s="102">
        <f>Data!$D$7*(1-INDEX(Data!$B$12:$AA$21,MATCH($C$5,Data!$B$12:$B$21,0),MATCH(O$3,Data!$B$12:$AA$12,0)))</f>
        <v>53.180999999998939</v>
      </c>
      <c r="P5" s="102">
        <f>Data!$D$7*(1-INDEX(Data!$B$12:$AA$21,MATCH($C$5,Data!$B$12:$B$21,0),MATCH(P$3,Data!$B$12:$AA$12,0)))</f>
        <v>46.649999999999572</v>
      </c>
      <c r="Q5" s="102">
        <f>Data!$D$7*(1-INDEX(Data!$B$12:$AA$21,MATCH($C$5,Data!$B$12:$B$21,0),MATCH(Q$3,Data!$B$12:$AA$12,0)))</f>
        <v>40.119000000000213</v>
      </c>
      <c r="R5" s="102">
        <f>Data!$D$7*(1-INDEX(Data!$B$12:$AA$21,MATCH($C$5,Data!$B$12:$B$21,0),MATCH(R$3,Data!$B$12:$AA$12,0)))</f>
        <v>33.587999999998196</v>
      </c>
      <c r="S5" s="102">
        <f>Data!$D$7*(1-INDEX(Data!$B$12:$AA$21,MATCH($C$5,Data!$B$12:$B$21,0),MATCH(S$3,Data!$B$12:$AA$12,0)))</f>
        <v>27.056999999998833</v>
      </c>
      <c r="T5" s="102">
        <f>Data!$D$7*(1-INDEX(Data!$B$12:$AA$21,MATCH($C$5,Data!$B$12:$B$21,0),MATCH(T$3,Data!$B$12:$AA$12,0)))</f>
        <v>20.525999999999467</v>
      </c>
    </row>
    <row r="6" spans="2:20" x14ac:dyDescent="0.25">
      <c r="C6" s="13" t="s">
        <v>92</v>
      </c>
      <c r="D6" s="164" t="str">
        <f>'CCC Summary'!C17</f>
        <v>Example Reward Low (175 to 12,5 USD/tCO2e)</v>
      </c>
      <c r="E6" s="19" t="s">
        <v>93</v>
      </c>
      <c r="F6" s="15"/>
      <c r="G6" s="15" t="s">
        <v>94</v>
      </c>
      <c r="H6" s="26">
        <f>IF(OR(AND(H3&lt;2035,H34&lt;=19),AND(H3&gt;2034,H34&lt;=14)),INDEX(Data!$B$12:$AA$23,MATCH($D$6,Data!$B$12:$B$23,0),MATCH(H$3,Data!$B$12:$AA$12,0)),0)</f>
        <v>0</v>
      </c>
      <c r="I6" s="26">
        <f>IF(OR(AND(I3&lt;2035,I34&lt;=19),AND(I3&gt;2034,I34&lt;=14)),INDEX(Data!$B$12:$AA$23,MATCH($D$6,Data!$B$12:$B$23,0),MATCH(I$3,Data!$B$12:$AA$12,0)),0)</f>
        <v>0</v>
      </c>
      <c r="J6" s="26">
        <f>IF(OR(AND(J3&lt;2035,J34&lt;=19),AND(J3&gt;2034,J34&lt;=14)),INDEX(Data!$B$12:$AA$23,MATCH($D$6,Data!$B$12:$B$23,0),MATCH(J$3,Data!$B$12:$AA$12,0)),0)</f>
        <v>175</v>
      </c>
      <c r="K6" s="26">
        <f>IF(OR(AND(K3&lt;2035,K34&lt;=19),AND(K3&gt;2034,K34&lt;=14)),INDEX(Data!$B$12:$AA$23,MATCH($D$6,Data!$B$12:$B$23,0),MATCH(K$3,Data!$B$12:$AA$12,0)),0)</f>
        <v>150</v>
      </c>
      <c r="L6" s="26">
        <f>IF(OR(AND(L3&lt;2035,L34&lt;=19),AND(L3&gt;2034,L34&lt;=14)),INDEX(Data!$B$12:$AA$23,MATCH($D$6,Data!$B$12:$B$23,0),MATCH(L$3,Data!$B$12:$AA$12,0)),0)</f>
        <v>125</v>
      </c>
      <c r="M6" s="26">
        <f>IF(OR(AND(M3&lt;2035,M34&lt;=19),AND(M3&gt;2034,M34&lt;=14)),INDEX(Data!$B$12:$AA$23,MATCH($D$6,Data!$B$12:$B$23,0),MATCH(M$3,Data!$B$12:$AA$12,0)),0)</f>
        <v>100</v>
      </c>
      <c r="N6" s="26">
        <f>IF(OR(AND(N3&lt;2035,N34&lt;=19),AND(N3&gt;2034,N34&lt;=14)),INDEX(Data!$B$12:$AA$23,MATCH($D$6,Data!$B$12:$B$23,0),MATCH(N$3,Data!$B$12:$AA$12,0)),0)</f>
        <v>75</v>
      </c>
      <c r="O6" s="26">
        <f>IF(OR(AND(O3&lt;2035,O34&lt;=19),AND(O3&gt;2034,O34&lt;=14)),INDEX(Data!$B$12:$AA$23,MATCH($D$6,Data!$B$12:$B$23,0),MATCH(O$3,Data!$B$12:$AA$12,0)),0)</f>
        <v>50</v>
      </c>
      <c r="P6" s="26">
        <f>IF(OR(AND(P3&lt;2035,P34&lt;=19),AND(P3&gt;2034,P34&lt;=14)),INDEX(Data!$B$12:$AA$23,MATCH($D$6,Data!$B$12:$B$23,0),MATCH(P$3,Data!$B$12:$AA$12,0)),0)</f>
        <v>42.5</v>
      </c>
      <c r="Q6" s="26">
        <f>IF(OR(AND(Q3&lt;2035,Q34&lt;=19),AND(Q3&gt;2034,Q34&lt;=14)),INDEX(Data!$B$12:$AA$23,MATCH($D$6,Data!$B$12:$B$23,0),MATCH(Q$3,Data!$B$12:$AA$12,0)),0)</f>
        <v>35</v>
      </c>
      <c r="R6" s="26">
        <f>IF(OR(AND(R3&lt;2035,R34&lt;=19),AND(R3&gt;2034,R34&lt;=14)),INDEX(Data!$B$12:$AA$23,MATCH($D$6,Data!$B$12:$B$23,0),MATCH(R$3,Data!$B$12:$AA$12,0)),0)</f>
        <v>27.5</v>
      </c>
      <c r="S6" s="26">
        <f>IF(OR(AND(S3&lt;2035,S34&lt;=19),AND(S3&gt;2034,S34&lt;=14)),INDEX(Data!$B$12:$AA$23,MATCH($D$6,Data!$B$12:$B$23,0),MATCH(S$3,Data!$B$12:$AA$12,0)),0)</f>
        <v>20</v>
      </c>
      <c r="T6" s="26">
        <f>IF(OR(AND(T3&lt;2035,T34&lt;=19),AND(T3&gt;2034,T34&lt;=14)),INDEX(Data!$B$12:$AA$23,MATCH($D$6,Data!$B$12:$B$23,0),MATCH(T$3,Data!$B$12:$AA$12,0)),0)</f>
        <v>12.5</v>
      </c>
    </row>
    <row r="7" spans="2:20" x14ac:dyDescent="0.25">
      <c r="C7" t="s">
        <v>95</v>
      </c>
      <c r="D7" s="32"/>
      <c r="E7" s="19"/>
      <c r="F7" s="15"/>
      <c r="G7" s="15" t="s">
        <v>94</v>
      </c>
      <c r="H7" s="26">
        <f>H$5</f>
        <v>77.438999999999993</v>
      </c>
      <c r="I7" s="26">
        <f t="shared" ref="I7:T7" si="0">I$5</f>
        <v>75.572999999999993</v>
      </c>
      <c r="J7" s="26">
        <f t="shared" si="0"/>
        <v>73.707000000000008</v>
      </c>
      <c r="K7" s="26">
        <f t="shared" si="0"/>
        <v>69.601799999999997</v>
      </c>
      <c r="L7" s="26">
        <f t="shared" si="0"/>
        <v>65.496600000000001</v>
      </c>
      <c r="M7" s="26">
        <f t="shared" si="0"/>
        <v>61.391400000000004</v>
      </c>
      <c r="N7" s="26">
        <f t="shared" si="0"/>
        <v>57.286199999999994</v>
      </c>
      <c r="O7" s="26">
        <f t="shared" si="0"/>
        <v>53.180999999998939</v>
      </c>
      <c r="P7" s="26">
        <f t="shared" si="0"/>
        <v>46.649999999999572</v>
      </c>
      <c r="Q7" s="26">
        <f t="shared" si="0"/>
        <v>40.119000000000213</v>
      </c>
      <c r="R7" s="26">
        <f t="shared" si="0"/>
        <v>33.587999999998196</v>
      </c>
      <c r="S7" s="26">
        <f t="shared" si="0"/>
        <v>27.056999999998833</v>
      </c>
      <c r="T7" s="26">
        <f t="shared" si="0"/>
        <v>20.525999999999467</v>
      </c>
    </row>
    <row r="8" spans="2:20" x14ac:dyDescent="0.25">
      <c r="C8" s="13"/>
      <c r="D8" s="32"/>
      <c r="E8" s="19"/>
      <c r="F8" s="15"/>
      <c r="G8" s="15"/>
      <c r="I8" s="70"/>
      <c r="J8" s="70"/>
      <c r="K8" s="70"/>
      <c r="L8" s="70"/>
      <c r="M8" s="70"/>
      <c r="N8" s="70"/>
      <c r="O8" s="70"/>
      <c r="P8" s="70"/>
      <c r="Q8" s="70"/>
      <c r="R8" s="70"/>
      <c r="S8" s="70"/>
      <c r="T8" s="70"/>
    </row>
    <row r="9" spans="2:20" x14ac:dyDescent="0.25">
      <c r="C9" s="16" t="s">
        <v>96</v>
      </c>
      <c r="D9" s="32"/>
      <c r="E9" s="19"/>
      <c r="F9" s="15"/>
      <c r="G9" s="15"/>
      <c r="I9" s="70"/>
      <c r="J9" s="70"/>
      <c r="K9" s="70"/>
      <c r="L9" s="70"/>
      <c r="M9" s="70"/>
      <c r="N9" s="70"/>
      <c r="O9" s="70"/>
      <c r="P9" s="70"/>
      <c r="Q9" s="70"/>
      <c r="R9" s="70"/>
      <c r="S9" s="70"/>
      <c r="T9" s="70"/>
    </row>
    <row r="10" spans="2:20" x14ac:dyDescent="0.25">
      <c r="C10" s="35" t="s">
        <v>97</v>
      </c>
      <c r="D10" s="95" t="s">
        <v>98</v>
      </c>
      <c r="E10" s="69" t="s">
        <v>71</v>
      </c>
      <c r="F10" s="69" t="s">
        <v>85</v>
      </c>
      <c r="G10" s="28" t="s">
        <v>86</v>
      </c>
      <c r="H10" s="101">
        <v>2028</v>
      </c>
      <c r="I10" s="101">
        <v>2029</v>
      </c>
      <c r="J10" s="101">
        <v>2030</v>
      </c>
      <c r="K10" s="101">
        <v>2031</v>
      </c>
      <c r="L10" s="101">
        <v>2032</v>
      </c>
      <c r="M10" s="101">
        <v>2033</v>
      </c>
      <c r="N10" s="101">
        <v>2034</v>
      </c>
      <c r="O10" s="101">
        <v>2035</v>
      </c>
      <c r="P10" s="100">
        <v>2036</v>
      </c>
      <c r="Q10" s="100">
        <v>2037</v>
      </c>
      <c r="R10" s="101">
        <v>2038</v>
      </c>
      <c r="S10" s="101">
        <v>2039</v>
      </c>
      <c r="T10" s="101">
        <v>2040</v>
      </c>
    </row>
    <row r="11" spans="2:20" x14ac:dyDescent="0.25">
      <c r="B11" s="72" t="s">
        <v>10</v>
      </c>
      <c r="C11" s="13" t="s">
        <v>99</v>
      </c>
      <c r="D11" s="96" t="s">
        <v>10</v>
      </c>
      <c r="E11" s="19"/>
      <c r="F11" s="36"/>
      <c r="G11" s="15" t="s">
        <v>90</v>
      </c>
      <c r="H11" s="26">
        <f>INDEX(Data!$B$5:$K$8,MATCH(Data!$B$7,Data!$B$5:$B$8,0),MATCH($D11,Data!$B$5:$K$5,0))</f>
        <v>95.628110000000007</v>
      </c>
      <c r="I11" s="26">
        <f>INDEX(Data!$B$5:$K$8,MATCH(Data!$B$7,Data!$B$5:$B$8,0),MATCH($D11,Data!$B$5:$K$5,0))</f>
        <v>95.628110000000007</v>
      </c>
      <c r="J11" s="26">
        <f>INDEX(Data!$B$5:$K$8,MATCH(Data!$B$7,Data!$B$5:$B$8,0),MATCH($D11,Data!$B$5:$K$5,0))</f>
        <v>95.628110000000007</v>
      </c>
      <c r="K11" s="26">
        <f>INDEX(Data!$B$5:$K$8,MATCH(Data!$B$7,Data!$B$5:$B$8,0),MATCH($D11,Data!$B$5:$K$5,0))</f>
        <v>95.628110000000007</v>
      </c>
      <c r="L11" s="26">
        <f>INDEX(Data!$B$5:$K$8,MATCH(Data!$B$7,Data!$B$5:$B$8,0),MATCH($D11,Data!$B$5:$K$5,0))</f>
        <v>95.628110000000007</v>
      </c>
      <c r="M11" s="26">
        <f>INDEX(Data!$B$5:$K$8,MATCH(Data!$B$7,Data!$B$5:$B$8,0),MATCH($D11,Data!$B$5:$K$5,0))</f>
        <v>95.628110000000007</v>
      </c>
      <c r="N11" s="26">
        <f>INDEX(Data!$B$5:$K$8,MATCH(Data!$B$7,Data!$B$5:$B$8,0),MATCH($D11,Data!$B$5:$K$5,0))</f>
        <v>95.628110000000007</v>
      </c>
      <c r="O11" s="26">
        <f>INDEX(Data!$B$5:$K$8,MATCH(Data!$B$7,Data!$B$5:$B$8,0),MATCH($D11,Data!$B$5:$K$5,0))</f>
        <v>95.628110000000007</v>
      </c>
      <c r="P11" s="26">
        <f>INDEX(Data!$B$5:$K$8,MATCH(Data!$B$7,Data!$B$5:$B$8,0),MATCH($D11,Data!$B$5:$K$5,0))</f>
        <v>95.628110000000007</v>
      </c>
      <c r="Q11" s="26">
        <f>INDEX(Data!$B$5:$K$8,MATCH(Data!$B$7,Data!$B$5:$B$8,0),MATCH($D11,Data!$B$5:$K$5,0))</f>
        <v>95.628110000000007</v>
      </c>
      <c r="R11" s="26">
        <f>INDEX(Data!$B$5:$K$8,MATCH(Data!$B$7,Data!$B$5:$B$8,0),MATCH($D11,Data!$B$5:$K$5,0))</f>
        <v>95.628110000000007</v>
      </c>
      <c r="S11" s="26">
        <f>INDEX(Data!$B$5:$K$8,MATCH(Data!$B$7,Data!$B$5:$B$8,0),MATCH($D11,Data!$B$5:$K$5,0))</f>
        <v>95.628110000000007</v>
      </c>
      <c r="T11" s="26">
        <f>INDEX(Data!$B$5:$K$8,MATCH(Data!$B$7,Data!$B$5:$B$8,0),MATCH($D11,Data!$B$5:$K$5,0))</f>
        <v>95.628110000000007</v>
      </c>
    </row>
    <row r="12" spans="2:20" x14ac:dyDescent="0.25">
      <c r="B12" s="72"/>
      <c r="C12" s="13" t="s">
        <v>100</v>
      </c>
      <c r="D12" s="32"/>
      <c r="E12" s="19" t="s">
        <v>101</v>
      </c>
      <c r="F12" s="15" t="s">
        <v>102</v>
      </c>
      <c r="G12" s="15" t="s">
        <v>103</v>
      </c>
      <c r="H12" s="26">
        <f>H11/1000</f>
        <v>9.5628110000000002E-2</v>
      </c>
      <c r="I12" s="26">
        <f t="shared" ref="I12:T12" si="1">I11/1000</f>
        <v>9.5628110000000002E-2</v>
      </c>
      <c r="J12" s="26">
        <f t="shared" si="1"/>
        <v>9.5628110000000002E-2</v>
      </c>
      <c r="K12" s="26">
        <f t="shared" si="1"/>
        <v>9.5628110000000002E-2</v>
      </c>
      <c r="L12" s="26">
        <f t="shared" si="1"/>
        <v>9.5628110000000002E-2</v>
      </c>
      <c r="M12" s="26">
        <f t="shared" si="1"/>
        <v>9.5628110000000002E-2</v>
      </c>
      <c r="N12" s="26">
        <f t="shared" si="1"/>
        <v>9.5628110000000002E-2</v>
      </c>
      <c r="O12" s="26">
        <f t="shared" si="1"/>
        <v>9.5628110000000002E-2</v>
      </c>
      <c r="P12" s="26">
        <f t="shared" si="1"/>
        <v>9.5628110000000002E-2</v>
      </c>
      <c r="Q12" s="26">
        <f t="shared" si="1"/>
        <v>9.5628110000000002E-2</v>
      </c>
      <c r="R12" s="26">
        <f t="shared" si="1"/>
        <v>9.5628110000000002E-2</v>
      </c>
      <c r="S12" s="26">
        <f t="shared" si="1"/>
        <v>9.5628110000000002E-2</v>
      </c>
      <c r="T12" s="26">
        <f t="shared" si="1"/>
        <v>9.5628110000000002E-2</v>
      </c>
    </row>
    <row r="13" spans="2:20" ht="15.6" customHeight="1" x14ac:dyDescent="0.25">
      <c r="B13" s="72"/>
      <c r="C13" s="13" t="s">
        <v>104</v>
      </c>
      <c r="D13" s="32"/>
      <c r="E13" s="19" t="s">
        <v>105</v>
      </c>
      <c r="F13" s="15" t="s">
        <v>106</v>
      </c>
      <c r="G13" s="15" t="s">
        <v>107</v>
      </c>
      <c r="H13" s="26">
        <f>(H11-H$4)*Data!$E$8</f>
        <v>0.24361642200000036</v>
      </c>
      <c r="I13" s="26">
        <f>(I11-I$4)*Data!$E$8</f>
        <v>0.31862962200000033</v>
      </c>
      <c r="J13" s="26">
        <f>(J11-J$4)*Data!$E$8</f>
        <v>0.39364282200000034</v>
      </c>
      <c r="K13" s="26">
        <f>(K11-K$4)*Data!$E$8</f>
        <v>0.55867186200000019</v>
      </c>
      <c r="L13" s="26">
        <f>(L11-L$4)*Data!$E$8</f>
        <v>0.72370090200000059</v>
      </c>
      <c r="M13" s="26">
        <f>(M11-M$4)*Data!$E$8</f>
        <v>0.88872994200000044</v>
      </c>
      <c r="N13" s="26">
        <f>(N11-N$4)*Data!$E$8</f>
        <v>1.0537589820000004</v>
      </c>
      <c r="O13" s="26">
        <f>(O11-O$4)*Data!$E$8</f>
        <v>1.2187880220000431</v>
      </c>
      <c r="P13" s="26">
        <f>(P11-P$4)*Data!$E$8</f>
        <v>1.4813342220000172</v>
      </c>
      <c r="Q13" s="26">
        <f>(Q11-Q$4)*Data!$E$8</f>
        <v>1.7438804219999917</v>
      </c>
      <c r="R13" s="26">
        <f>(R11-R$4)*Data!$E$8</f>
        <v>2.006426622000073</v>
      </c>
      <c r="S13" s="26">
        <f>(S11-S$4)*Data!$E$8</f>
        <v>2.2689728220000469</v>
      </c>
      <c r="T13" s="26">
        <f>(T11-T$4)*Data!$E$8</f>
        <v>2.5315190220000217</v>
      </c>
    </row>
    <row r="14" spans="2:20" ht="15.6" customHeight="1" x14ac:dyDescent="0.25">
      <c r="B14" s="72"/>
      <c r="C14" s="13" t="s">
        <v>108</v>
      </c>
      <c r="D14" s="120"/>
      <c r="E14" s="19" t="s">
        <v>109</v>
      </c>
      <c r="F14" s="15" t="s">
        <v>110</v>
      </c>
      <c r="G14" s="15" t="s">
        <v>107</v>
      </c>
      <c r="H14" s="26">
        <f>MIN(MAX(0,(H$11-H$5)),(H$4-H$5))*Data!$E$8</f>
        <v>0.48758580000000018</v>
      </c>
      <c r="I14" s="26">
        <f>MIN(MAX(0,(I$11-I$5)),(I$4-I$5))*Data!$E$8</f>
        <v>0.48758580000000018</v>
      </c>
      <c r="J14" s="26">
        <f>MIN(MAX(0,(J$11-J$5)),(J$4-J$5))*Data!$E$8</f>
        <v>0.48758579999999963</v>
      </c>
      <c r="K14" s="26">
        <f>MIN(MAX(0,(K$11-K$5)),(K$4-K$5))*Data!$E$8</f>
        <v>0.48758580000000018</v>
      </c>
      <c r="L14" s="26">
        <f>MIN(MAX(0,(L$11-L$5)),(L$4-L$5))*Data!$E$8</f>
        <v>0.48758579999999963</v>
      </c>
      <c r="M14" s="26">
        <f>MIN(MAX(0,(M$11-M$5)),(M$4-M$5))*Data!$E$8</f>
        <v>0.48758579999999963</v>
      </c>
      <c r="N14" s="26">
        <f>MIN(MAX(0,(N$11-N$5)),(N$4-N$5))*Data!$E$8</f>
        <v>0.48758580000000018</v>
      </c>
      <c r="O14" s="26">
        <f>MIN(MAX(0,(O$11-O$5)),(O$4-O$5))*Data!$E$8</f>
        <v>0.4875857999999999</v>
      </c>
      <c r="P14" s="26">
        <f>MIN(MAX(0,(P$11-P$5)),(P$4-P$5))*Data!$E$8</f>
        <v>0.48758580000000018</v>
      </c>
      <c r="Q14" s="26">
        <f>MIN(MAX(0,(Q$11-Q$5)),(Q$4-Q$5))*Data!$E$8</f>
        <v>0.4875857999999999</v>
      </c>
      <c r="R14" s="26">
        <f>MIN(MAX(0,(R$11-R$5)),(R$4-R$5))*Data!$E$8</f>
        <v>0.4875857999999999</v>
      </c>
      <c r="S14" s="26">
        <f>MIN(MAX(0,(S$11-S$5)),(S$4-S$5))*Data!$E$8</f>
        <v>0.48758580000000007</v>
      </c>
      <c r="T14" s="26">
        <f>MIN(MAX(0,(T$11-T$5)),(T$4-T$5))*Data!$E$8</f>
        <v>0.48758580000000007</v>
      </c>
    </row>
    <row r="15" spans="2:20" x14ac:dyDescent="0.25">
      <c r="B15" s="72"/>
      <c r="C15" s="13" t="s">
        <v>111</v>
      </c>
      <c r="D15" s="99" t="str">
        <f>'CCC Summary'!$C$27</f>
        <v>MMM LSFO</v>
      </c>
      <c r="E15" s="19" t="s">
        <v>93</v>
      </c>
      <c r="F15" s="15" t="str">
        <f>IF('CCC Summary'!$C$27="Yes",'CCC Summary'!$D$27,"")</f>
        <v/>
      </c>
      <c r="G15" s="15" t="s">
        <v>112</v>
      </c>
      <c r="H15" s="26">
        <f>IF($D$15="Enter fixed price",'CCC Summary'!$C$28/(Data!$E$8*1000),INDEX(Data!$B$30:$AA$39,MATCH($D$15,Data!$B$30:$B$39,0),MATCH(H$3,Data!$B$30:$AA$30,0)))</f>
        <v>14.241262135922296</v>
      </c>
      <c r="I15" s="26">
        <f>IF($D$15="Enter fixed price",'CCC Summary'!$C$28/(Data!$E$8*1000),INDEX(Data!$B$30:$AA$39,MATCH($D$15,Data!$B$30:$B$39,0),MATCH(I$3,Data!$B$30:$AA$30,0)))</f>
        <v>13.848786407766889</v>
      </c>
      <c r="J15" s="26">
        <f>IF($D$15="Enter fixed price",'CCC Summary'!$C$28/(Data!$E$8*1000),INDEX(Data!$B$30:$AA$39,MATCH($D$15,Data!$B$30:$B$39,0),MATCH(J$3,Data!$B$30:$AA$30,0)))</f>
        <v>13.456310679611649</v>
      </c>
      <c r="K15" s="26">
        <f>IF($D$15="Enter fixed price",'CCC Summary'!$C$28/(Data!$E$8*1000),INDEX(Data!$B$30:$AA$39,MATCH($D$15,Data!$B$30:$B$39,0),MATCH(K$3,Data!$B$30:$AA$30,0)))</f>
        <v>13.456310679611649</v>
      </c>
      <c r="L15" s="26">
        <f>IF($D$15="Enter fixed price",'CCC Summary'!$C$28/(Data!$E$8*1000),INDEX(Data!$B$30:$AA$39,MATCH($D$15,Data!$B$30:$B$39,0),MATCH(L$3,Data!$B$30:$AA$30,0)))</f>
        <v>13.456310679611649</v>
      </c>
      <c r="M15" s="26">
        <f>IF($D$15="Enter fixed price",'CCC Summary'!$C$28/(Data!$E$8*1000),INDEX(Data!$B$30:$AA$39,MATCH($D$15,Data!$B$30:$B$39,0),MATCH(M$3,Data!$B$30:$AA$30,0)))</f>
        <v>13.456310679611649</v>
      </c>
      <c r="N15" s="26">
        <f>IF($D$15="Enter fixed price",'CCC Summary'!$C$28/(Data!$E$8*1000),INDEX(Data!$B$30:$AA$39,MATCH($D$15,Data!$B$30:$B$39,0),MATCH(N$3,Data!$B$30:$AA$30,0)))</f>
        <v>13.456310679611649</v>
      </c>
      <c r="O15" s="26">
        <f>IF($D$15="Enter fixed price",'CCC Summary'!$C$28/(Data!$E$8*1000),INDEX(Data!$B$30:$AA$39,MATCH($D$15,Data!$B$30:$B$39,0),MATCH(O$3,Data!$B$30:$AA$30,0)))</f>
        <v>13.456310679611649</v>
      </c>
      <c r="P15" s="26">
        <f>IF($D$15="Enter fixed price",'CCC Summary'!$C$28/(Data!$E$8*1000),INDEX(Data!$B$30:$AA$39,MATCH($D$15,Data!$B$30:$B$39,0),MATCH(P$3,Data!$B$30:$AA$30,0)))</f>
        <v>13.456310679611649</v>
      </c>
      <c r="Q15" s="26">
        <f>IF($D$15="Enter fixed price",'CCC Summary'!$C$28/(Data!$E$8*1000),INDEX(Data!$B$30:$AA$39,MATCH($D$15,Data!$B$30:$B$39,0),MATCH(Q$3,Data!$B$30:$AA$30,0)))</f>
        <v>13.456310679611649</v>
      </c>
      <c r="R15" s="26">
        <f>IF($D$15="Enter fixed price",'CCC Summary'!$C$28/(Data!$E$8*1000),INDEX(Data!$B$30:$AA$39,MATCH($D$15,Data!$B$30:$B$39,0),MATCH(R$3,Data!$B$30:$AA$30,0)))</f>
        <v>13.456310679611649</v>
      </c>
      <c r="S15" s="26">
        <f>IF($D$15="Enter fixed price",'CCC Summary'!$C$28/(Data!$E$8*1000),INDEX(Data!$B$30:$AA$39,MATCH($D$15,Data!$B$30:$B$39,0),MATCH(S$3,Data!$B$30:$AA$30,0)))</f>
        <v>13.456310679611649</v>
      </c>
      <c r="T15" s="26">
        <f>IF($D$15="Enter fixed price",'CCC Summary'!$C$28/(Data!$E$8*1000),INDEX(Data!$B$30:$AA$39,MATCH($D$15,Data!$B$30:$B$39,0),MATCH(T$3,Data!$B$30:$AA$30,0)))</f>
        <v>13.456310679611649</v>
      </c>
    </row>
    <row r="16" spans="2:20" x14ac:dyDescent="0.25">
      <c r="B16" s="72"/>
      <c r="C16" s="73" t="s">
        <v>113</v>
      </c>
      <c r="D16" s="97"/>
      <c r="E16" s="19" t="s">
        <v>114</v>
      </c>
      <c r="F16" s="15" t="s">
        <v>115</v>
      </c>
      <c r="G16" s="15" t="s">
        <v>116</v>
      </c>
      <c r="H16" s="26">
        <f>H13*Data!E$15</f>
        <v>92.574240360000132</v>
      </c>
      <c r="I16" s="26">
        <f>I13*Data!F$15</f>
        <v>121.07925636000013</v>
      </c>
      <c r="J16" s="26">
        <f>J13*Data!G$15</f>
        <v>149.58427236000011</v>
      </c>
      <c r="K16" s="26">
        <f>K13*Data!H$15</f>
        <v>212.29530756000008</v>
      </c>
      <c r="L16" s="26">
        <f>L13*Data!I$15</f>
        <v>275.00634276000022</v>
      </c>
      <c r="M16" s="26">
        <f>M13*Data!J$15</f>
        <v>337.71737796000019</v>
      </c>
      <c r="N16" s="26">
        <f>N13*Data!K$15</f>
        <v>400.42841316000016</v>
      </c>
      <c r="O16" s="26">
        <f>O13*Data!L$15</f>
        <v>463.13944836001639</v>
      </c>
      <c r="P16" s="26">
        <f>P13*Data!M$15</f>
        <v>562.90700436000657</v>
      </c>
      <c r="Q16" s="26">
        <f>Q13*Data!N$15</f>
        <v>662.6745603599968</v>
      </c>
      <c r="R16" s="26">
        <f>R13*Data!O$15</f>
        <v>762.44211636002774</v>
      </c>
      <c r="S16" s="26">
        <f>S13*Data!P$15</f>
        <v>862.20967236001786</v>
      </c>
      <c r="T16" s="26">
        <f>T13*Data!Q$15</f>
        <v>961.97722836000821</v>
      </c>
    </row>
    <row r="17" spans="2:20" x14ac:dyDescent="0.25">
      <c r="B17" s="72"/>
      <c r="C17" s="74" t="s">
        <v>117</v>
      </c>
      <c r="D17" s="98"/>
      <c r="E17" s="75" t="s">
        <v>114</v>
      </c>
      <c r="F17" s="22" t="s">
        <v>115</v>
      </c>
      <c r="G17" s="22" t="s">
        <v>116</v>
      </c>
      <c r="H17" s="104">
        <f>H14*Data!E$16</f>
        <v>48.758580000000016</v>
      </c>
      <c r="I17" s="104">
        <f>I14*Data!F$16</f>
        <v>48.758580000000016</v>
      </c>
      <c r="J17" s="104">
        <f>J14*Data!G$16</f>
        <v>48.758579999999959</v>
      </c>
      <c r="K17" s="104">
        <f>K14*Data!H$16</f>
        <v>48.758580000000016</v>
      </c>
      <c r="L17" s="104">
        <f>L14*Data!I$16</f>
        <v>48.758579999999959</v>
      </c>
      <c r="M17" s="104">
        <f>M14*Data!J$16</f>
        <v>48.758579999999959</v>
      </c>
      <c r="N17" s="104">
        <f>N14*Data!K$16</f>
        <v>48.758580000000016</v>
      </c>
      <c r="O17" s="104">
        <f>O14*Data!L$16</f>
        <v>48.758579999999988</v>
      </c>
      <c r="P17" s="104">
        <f>P14*Data!M$16</f>
        <v>48.758580000000016</v>
      </c>
      <c r="Q17" s="104">
        <f>Q14*Data!N$16</f>
        <v>48.758579999999988</v>
      </c>
      <c r="R17" s="104">
        <f>R14*Data!O$16</f>
        <v>48.758579999999988</v>
      </c>
      <c r="S17" s="104">
        <f>S14*Data!P$16</f>
        <v>48.758580000000009</v>
      </c>
      <c r="T17" s="104">
        <f>T14*Data!Q$16</f>
        <v>48.758580000000009</v>
      </c>
    </row>
    <row r="18" spans="2:20" x14ac:dyDescent="0.25">
      <c r="B18" s="72" t="s">
        <v>118</v>
      </c>
      <c r="C18" s="13" t="s">
        <v>119</v>
      </c>
      <c r="D18" s="99" t="str">
        <f>'CCC Summary'!$C$38</f>
        <v>Diesel dual fuel (HP)</v>
      </c>
      <c r="E18" s="19" t="s">
        <v>93</v>
      </c>
      <c r="F18" s="36"/>
      <c r="G18" s="15" t="s">
        <v>90</v>
      </c>
      <c r="H18" s="103">
        <f>INDEX(Data!$B$5:$K$8,MATCH(Data!$B$7,Data!$B$5:$B$8,0),MATCH($D18,Data!$B$5:$K$5,0))</f>
        <v>77.168869999999998</v>
      </c>
      <c r="I18" s="103">
        <f>INDEX(Data!$B$5:$K$8,MATCH(Data!$B$7,Data!$B$5:$B$8,0),MATCH($D18,Data!$B$5:$K$5,0))</f>
        <v>77.168869999999998</v>
      </c>
      <c r="J18" s="103">
        <f>INDEX(Data!$B$5:$K$8,MATCH(Data!$B$7,Data!$B$5:$B$8,0),MATCH($D18,Data!$B$5:$K$5,0))</f>
        <v>77.168869999999998</v>
      </c>
      <c r="K18" s="103">
        <f>INDEX(Data!$B$5:$K$8,MATCH(Data!$B$7,Data!$B$5:$B$8,0),MATCH($D18,Data!$B$5:$K$5,0))</f>
        <v>77.168869999999998</v>
      </c>
      <c r="L18" s="103">
        <f>INDEX(Data!$B$5:$K$8,MATCH(Data!$B$7,Data!$B$5:$B$8,0),MATCH($D18,Data!$B$5:$K$5,0))</f>
        <v>77.168869999999998</v>
      </c>
      <c r="M18" s="103">
        <f>INDEX(Data!$B$5:$K$8,MATCH(Data!$B$7,Data!$B$5:$B$8,0),MATCH($D18,Data!$B$5:$K$5,0))</f>
        <v>77.168869999999998</v>
      </c>
      <c r="N18" s="103">
        <f>INDEX(Data!$B$5:$K$8,MATCH(Data!$B$7,Data!$B$5:$B$8,0),MATCH($D18,Data!$B$5:$K$5,0))</f>
        <v>77.168869999999998</v>
      </c>
      <c r="O18" s="103">
        <f>INDEX(Data!$B$5:$K$8,MATCH(Data!$B$7,Data!$B$5:$B$8,0),MATCH($D18,Data!$B$5:$K$5,0))</f>
        <v>77.168869999999998</v>
      </c>
      <c r="P18" s="103">
        <f>INDEX(Data!$B$5:$K$8,MATCH(Data!$B$7,Data!$B$5:$B$8,0),MATCH($D18,Data!$B$5:$K$5,0))</f>
        <v>77.168869999999998</v>
      </c>
      <c r="Q18" s="103">
        <f>INDEX(Data!$B$5:$K$8,MATCH(Data!$B$7,Data!$B$5:$B$8,0),MATCH($D18,Data!$B$5:$K$5,0))</f>
        <v>77.168869999999998</v>
      </c>
      <c r="R18" s="103">
        <f>INDEX(Data!$B$5:$K$8,MATCH(Data!$B$7,Data!$B$5:$B$8,0),MATCH($D18,Data!$B$5:$K$5,0))</f>
        <v>77.168869999999998</v>
      </c>
      <c r="S18" s="103">
        <f>INDEX(Data!$B$5:$K$8,MATCH(Data!$B$7,Data!$B$5:$B$8,0),MATCH($D18,Data!$B$5:$K$5,0))</f>
        <v>77.168869999999998</v>
      </c>
      <c r="T18" s="103">
        <f>INDEX(Data!$B$5:$K$8,MATCH(Data!$B$7,Data!$B$5:$B$8,0),MATCH($D18,Data!$B$5:$K$5,0))</f>
        <v>77.168869999999998</v>
      </c>
    </row>
    <row r="19" spans="2:20" x14ac:dyDescent="0.25">
      <c r="B19" s="72"/>
      <c r="C19" s="13" t="s">
        <v>120</v>
      </c>
      <c r="D19" s="32"/>
      <c r="E19" s="19" t="s">
        <v>101</v>
      </c>
      <c r="F19" s="15" t="s">
        <v>102</v>
      </c>
      <c r="G19" s="15" t="s">
        <v>103</v>
      </c>
      <c r="H19" s="26">
        <f>H18/1000</f>
        <v>7.7168870000000001E-2</v>
      </c>
      <c r="I19" s="26">
        <f t="shared" ref="I19:T19" si="2">I18/1000</f>
        <v>7.7168870000000001E-2</v>
      </c>
      <c r="J19" s="26">
        <f t="shared" si="2"/>
        <v>7.7168870000000001E-2</v>
      </c>
      <c r="K19" s="26">
        <f t="shared" si="2"/>
        <v>7.7168870000000001E-2</v>
      </c>
      <c r="L19" s="26">
        <f t="shared" si="2"/>
        <v>7.7168870000000001E-2</v>
      </c>
      <c r="M19" s="26">
        <f t="shared" si="2"/>
        <v>7.7168870000000001E-2</v>
      </c>
      <c r="N19" s="26">
        <f t="shared" si="2"/>
        <v>7.7168870000000001E-2</v>
      </c>
      <c r="O19" s="26">
        <f t="shared" si="2"/>
        <v>7.7168870000000001E-2</v>
      </c>
      <c r="P19" s="26">
        <f t="shared" si="2"/>
        <v>7.7168870000000001E-2</v>
      </c>
      <c r="Q19" s="26">
        <f t="shared" si="2"/>
        <v>7.7168870000000001E-2</v>
      </c>
      <c r="R19" s="26">
        <f t="shared" si="2"/>
        <v>7.7168870000000001E-2</v>
      </c>
      <c r="S19" s="26">
        <f t="shared" si="2"/>
        <v>7.7168870000000001E-2</v>
      </c>
      <c r="T19" s="26">
        <f t="shared" si="2"/>
        <v>7.7168870000000001E-2</v>
      </c>
    </row>
    <row r="20" spans="2:20" x14ac:dyDescent="0.25">
      <c r="B20" s="72"/>
      <c r="C20" s="13" t="s">
        <v>121</v>
      </c>
      <c r="D20" s="32"/>
      <c r="E20" s="19" t="s">
        <v>105</v>
      </c>
      <c r="F20" s="15" t="s">
        <v>122</v>
      </c>
      <c r="G20" s="15" t="s">
        <v>123</v>
      </c>
      <c r="H20" s="26">
        <f>MAX((H18-H$4),0)*Data!$E$8</f>
        <v>0</v>
      </c>
      <c r="I20" s="26">
        <f>MAX((I18-I$4),0)*Data!$E$8</f>
        <v>0</v>
      </c>
      <c r="J20" s="26">
        <f>MAX((J18-J$4),0)*Data!$E$8</f>
        <v>0</v>
      </c>
      <c r="K20" s="26">
        <f>MAX((K18-K$4),0)*Data!$E$8</f>
        <v>0</v>
      </c>
      <c r="L20" s="26">
        <f>MAX((L18-L$4),0)*Data!$E$8</f>
        <v>0</v>
      </c>
      <c r="M20" s="26">
        <f>MAX((M18-M$4),0)*Data!$E$8</f>
        <v>0.14666849400000012</v>
      </c>
      <c r="N20" s="26">
        <f>MAX((N18-N$4),0)*Data!$E$8</f>
        <v>0.311697534</v>
      </c>
      <c r="O20" s="26">
        <f>MAX((O18-O$4),0)*Data!$E$8</f>
        <v>0.4767265740000427</v>
      </c>
      <c r="P20" s="26">
        <f>MAX((P18-P$4),0)*Data!$E$8</f>
        <v>0.7392727740000169</v>
      </c>
      <c r="Q20" s="26">
        <f>MAX((Q18-Q$4),0)*Data!$E$8</f>
        <v>1.0018189739999914</v>
      </c>
      <c r="R20" s="26">
        <f>MAX((R18-R$4),0)*Data!$E$8</f>
        <v>1.2643651740000725</v>
      </c>
      <c r="S20" s="26">
        <f>MAX((S18-S$4),0)*Data!$E$8</f>
        <v>1.5269113740000468</v>
      </c>
      <c r="T20" s="26">
        <f>MAX((T18-T$4),0)*Data!$E$8</f>
        <v>1.7894575740000214</v>
      </c>
    </row>
    <row r="21" spans="2:20" x14ac:dyDescent="0.25">
      <c r="B21" s="72"/>
      <c r="C21" s="13" t="s">
        <v>124</v>
      </c>
      <c r="E21" s="19" t="s">
        <v>109</v>
      </c>
      <c r="F21" s="15" t="s">
        <v>125</v>
      </c>
      <c r="G21" s="15" t="s">
        <v>123</v>
      </c>
      <c r="H21" s="26">
        <f>MIN(MAX(0,(H$18-H$5)),(H$4-H$5))*Data!$E$8</f>
        <v>0</v>
      </c>
      <c r="I21" s="26">
        <f>MIN(MAX(0,(I$18-I$5)),(I$4-I$5))*Data!$E$8</f>
        <v>6.4153974000000197E-2</v>
      </c>
      <c r="J21" s="26">
        <f>MIN(MAX(0,(J$18-J$5)),(J$4-J$5))*Data!$E$8</f>
        <v>0.13916717399999962</v>
      </c>
      <c r="K21" s="26">
        <f>MIN(MAX(0,(K$18-K$5)),(K$4-K$5))*Data!$E$8</f>
        <v>0.30419621400000002</v>
      </c>
      <c r="L21" s="26">
        <f>MIN(MAX(0,(L$18-L$5)),(L$4-L$5))*Data!$E$8</f>
        <v>0.46922525399999987</v>
      </c>
      <c r="M21" s="26">
        <f>MIN(MAX(0,(M$18-M$5)),(M$4-M$5))*Data!$E$8</f>
        <v>0.48758579999999963</v>
      </c>
      <c r="N21" s="26">
        <f>MIN(MAX(0,(N$18-N$5)),(N$4-N$5))*Data!$E$8</f>
        <v>0.48758580000000018</v>
      </c>
      <c r="O21" s="26">
        <f>MIN(MAX(0,(O$18-O$5)),(O$4-O$5))*Data!$E$8</f>
        <v>0.4875857999999999</v>
      </c>
      <c r="P21" s="26">
        <f>MIN(MAX(0,(P$18-P$5)),(P$4-P$5))*Data!$E$8</f>
        <v>0.48758580000000018</v>
      </c>
      <c r="Q21" s="26">
        <f>MIN(MAX(0,(Q$18-Q$5)),(Q$4-Q$5))*Data!$E$8</f>
        <v>0.4875857999999999</v>
      </c>
      <c r="R21" s="26">
        <f>MIN(MAX(0,(R$18-R$5)),(R$4-R$5))*Data!$E$8</f>
        <v>0.4875857999999999</v>
      </c>
      <c r="S21" s="26">
        <f>MIN(MAX(0,(S$18-S$5)),(S$4-S$5))*Data!$E$8</f>
        <v>0.48758580000000007</v>
      </c>
      <c r="T21" s="26">
        <f>MIN(MAX(0,(T$18-T$5)),(T$4-T$5))*Data!$E$8</f>
        <v>0.48758580000000007</v>
      </c>
    </row>
    <row r="22" spans="2:20" x14ac:dyDescent="0.25">
      <c r="B22" s="72"/>
      <c r="C22" s="13" t="s">
        <v>126</v>
      </c>
      <c r="D22" s="32"/>
      <c r="E22" s="19" t="s">
        <v>127</v>
      </c>
      <c r="F22" s="15" t="s">
        <v>122</v>
      </c>
      <c r="G22" s="15" t="s">
        <v>128</v>
      </c>
      <c r="H22" s="26">
        <f>MIN((H18-H$5),0)*Data!$E$8</f>
        <v>-1.0859225999999784E-2</v>
      </c>
      <c r="I22" s="26">
        <f>MIN((I18-I$5),0)*Data!$E$8</f>
        <v>0</v>
      </c>
      <c r="J22" s="26">
        <f>MIN((J18-J$5),0)*Data!$E$8</f>
        <v>0</v>
      </c>
      <c r="K22" s="26">
        <f>MIN((K18-K$5),0)*Data!$E$8</f>
        <v>0</v>
      </c>
      <c r="L22" s="26">
        <f>MIN((L18-L$5),0)*Data!$E$8</f>
        <v>0</v>
      </c>
      <c r="M22" s="26">
        <f>MIN((M18-M$5),0)*Data!$E$8</f>
        <v>0</v>
      </c>
      <c r="N22" s="26">
        <f>MIN((N18-N$5),0)*Data!$E$8</f>
        <v>0</v>
      </c>
      <c r="O22" s="26">
        <f>MIN((O18-O$5),0)*Data!$E$8</f>
        <v>0</v>
      </c>
      <c r="P22" s="26">
        <f>MIN((P18-P$5),0)*Data!$E$8</f>
        <v>0</v>
      </c>
      <c r="Q22" s="26">
        <f>MIN((Q18-Q$5),0)*Data!$E$8</f>
        <v>0</v>
      </c>
      <c r="R22" s="26">
        <f>MIN((R18-R$5),0)*Data!$E$8</f>
        <v>0</v>
      </c>
      <c r="S22" s="26">
        <f>MIN((S18-S$5),0)*Data!$E$8</f>
        <v>0</v>
      </c>
      <c r="T22" s="26">
        <f>MIN((T18-T$5),0)*Data!$E$8</f>
        <v>0</v>
      </c>
    </row>
    <row r="23" spans="2:20" x14ac:dyDescent="0.25">
      <c r="B23" s="72"/>
      <c r="C23" s="13" t="s">
        <v>129</v>
      </c>
      <c r="D23" s="96" t="str">
        <f>'CCC Summary'!$C$39</f>
        <v>MMM LNG</v>
      </c>
      <c r="E23" s="19" t="s">
        <v>93</v>
      </c>
      <c r="F23" s="15" t="str">
        <f>IF('CCC Summary'!$C$27="Yes",'CCC Summary'!$D$27,"")</f>
        <v/>
      </c>
      <c r="G23" s="15" t="s">
        <v>112</v>
      </c>
      <c r="H23" s="103">
        <f>IF($D$23="Enter fixed price",'CCC Summary'!$C$40/(Data!$E$8*1000),INDEX(Data!$B$30:$AA$39,MATCH($D$23,Data!$B$30:$B$39,0),MATCH(H$3,Data!$B$30:$AA$30,0)))</f>
        <v>13.513486979796285</v>
      </c>
      <c r="I23" s="103">
        <f>IF($D$23="Enter fixed price",'CCC Summary'!$C$40/(Data!$E$8*1000),INDEX(Data!$B$30:$AA$39,MATCH($D$23,Data!$B$30:$B$39,0),MATCH(I$3,Data!$B$30:$AA$30,0)))</f>
        <v>12.461687677007411</v>
      </c>
      <c r="J23" s="103">
        <f>IF($D$23="Enter fixed price",'CCC Summary'!$C$40/(Data!$E$8*1000),INDEX(Data!$B$30:$AA$39,MATCH($D$23,Data!$B$30:$B$39,0),MATCH(J$3,Data!$B$30:$AA$30,0)))</f>
        <v>11.409888374218541</v>
      </c>
      <c r="K23" s="103">
        <f>IF($D$23="Enter fixed price",'CCC Summary'!$C$40/(Data!$E$8*1000),INDEX(Data!$B$30:$AA$39,MATCH($D$23,Data!$B$30:$B$39,0),MATCH(K$3,Data!$B$30:$AA$30,0)))</f>
        <v>11.404711335629472</v>
      </c>
      <c r="L23" s="103">
        <f>IF($D$23="Enter fixed price",'CCC Summary'!$C$40/(Data!$E$8*1000),INDEX(Data!$B$30:$AA$39,MATCH($D$23,Data!$B$30:$B$39,0),MATCH(L$3,Data!$B$30:$AA$30,0)))</f>
        <v>11.399534297040399</v>
      </c>
      <c r="M23" s="103">
        <f>IF($D$23="Enter fixed price",'CCC Summary'!$C$40/(Data!$E$8*1000),INDEX(Data!$B$30:$AA$39,MATCH($D$23,Data!$B$30:$B$39,0),MATCH(M$3,Data!$B$30:$AA$30,0)))</f>
        <v>11.394357258451331</v>
      </c>
      <c r="N23" s="103">
        <f>IF($D$23="Enter fixed price",'CCC Summary'!$C$40/(Data!$E$8*1000),INDEX(Data!$B$30:$AA$39,MATCH($D$23,Data!$B$30:$B$39,0),MATCH(N$3,Data!$B$30:$AA$30,0)))</f>
        <v>11.389180219862256</v>
      </c>
      <c r="O23" s="103">
        <f>IF($D$23="Enter fixed price",'CCC Summary'!$C$40/(Data!$E$8*1000),INDEX(Data!$B$30:$AA$39,MATCH($D$23,Data!$B$30:$B$39,0),MATCH(O$3,Data!$B$30:$AA$30,0)))</f>
        <v>11.384003181273181</v>
      </c>
      <c r="P23" s="103">
        <f>IF($D$23="Enter fixed price",'CCC Summary'!$C$40/(Data!$E$8*1000),INDEX(Data!$B$30:$AA$39,MATCH($D$23,Data!$B$30:$B$39,0),MATCH(P$3,Data!$B$30:$AA$30,0)))</f>
        <v>11.359334171568827</v>
      </c>
      <c r="Q23" s="103">
        <f>IF($D$23="Enter fixed price",'CCC Summary'!$C$40/(Data!$E$8*1000),INDEX(Data!$B$30:$AA$39,MATCH($D$23,Data!$B$30:$B$39,0),MATCH(Q$3,Data!$B$30:$AA$30,0)))</f>
        <v>11.334665161864466</v>
      </c>
      <c r="R23" s="103">
        <f>IF($D$23="Enter fixed price",'CCC Summary'!$C$40/(Data!$E$8*1000),INDEX(Data!$B$30:$AA$39,MATCH($D$23,Data!$B$30:$B$39,0),MATCH(R$3,Data!$B$30:$AA$30,0)))</f>
        <v>11.309996152160105</v>
      </c>
      <c r="S23" s="103">
        <f>IF($D$23="Enter fixed price",'CCC Summary'!$C$40/(Data!$E$8*1000),INDEX(Data!$B$30:$AA$39,MATCH($D$23,Data!$B$30:$B$39,0),MATCH(S$3,Data!$B$30:$AA$30,0)))</f>
        <v>11.285327142455742</v>
      </c>
      <c r="T23" s="103">
        <f>IF($D$23="Enter fixed price",'CCC Summary'!$C$40/(Data!$E$8*1000),INDEX(Data!$B$30:$AA$39,MATCH($D$23,Data!$B$30:$B$39,0),MATCH(T$3,Data!$B$30:$AA$30,0)))</f>
        <v>11.26065813275139</v>
      </c>
    </row>
    <row r="24" spans="2:20" x14ac:dyDescent="0.25">
      <c r="B24" s="72"/>
      <c r="C24" s="73" t="s">
        <v>130</v>
      </c>
      <c r="D24" s="32"/>
      <c r="E24" s="19"/>
      <c r="F24" s="15"/>
      <c r="G24" s="15" t="s">
        <v>131</v>
      </c>
      <c r="H24" s="103">
        <f>MAX(H20*Data!E15,0)</f>
        <v>0</v>
      </c>
      <c r="I24" s="103">
        <f>MAX(I20*Data!F15,0)</f>
        <v>0</v>
      </c>
      <c r="J24" s="103">
        <f>MAX(J20*Data!G15,0)</f>
        <v>0</v>
      </c>
      <c r="K24" s="103">
        <f>MAX(K20*Data!H15,0)</f>
        <v>0</v>
      </c>
      <c r="L24" s="103">
        <f>MAX(L20*Data!I15,0)</f>
        <v>0</v>
      </c>
      <c r="M24" s="103">
        <f>MAX(M20*Data!J15,0)</f>
        <v>55.734027720000043</v>
      </c>
      <c r="N24" s="103">
        <f>MAX(N20*Data!K15,0)</f>
        <v>118.44506292</v>
      </c>
      <c r="O24" s="103">
        <f>MAX(O20*Data!L15,0)</f>
        <v>181.15609812001622</v>
      </c>
      <c r="P24" s="103">
        <f>MAX(P20*Data!M15,0)</f>
        <v>280.9236541200064</v>
      </c>
      <c r="Q24" s="103">
        <f>MAX(Q20*Data!N15,0)</f>
        <v>380.69121011999675</v>
      </c>
      <c r="R24" s="103">
        <f>MAX(R20*Data!O15,0)</f>
        <v>480.45876612002758</v>
      </c>
      <c r="S24" s="103">
        <f>MAX(S20*Data!P15,0)</f>
        <v>580.22632212001781</v>
      </c>
      <c r="T24" s="103">
        <f>MAX(T20*Data!Q15,0)</f>
        <v>679.99387812000816</v>
      </c>
    </row>
    <row r="25" spans="2:20" x14ac:dyDescent="0.25">
      <c r="B25" s="72"/>
      <c r="C25" s="74" t="s">
        <v>132</v>
      </c>
      <c r="D25" s="98"/>
      <c r="E25" s="75" t="s">
        <v>114</v>
      </c>
      <c r="F25" s="22" t="s">
        <v>115</v>
      </c>
      <c r="G25" s="22" t="s">
        <v>131</v>
      </c>
      <c r="H25" s="104">
        <f>H21*Data!E16</f>
        <v>0</v>
      </c>
      <c r="I25" s="104">
        <f>I21*Data!F16</f>
        <v>6.4153974000000193</v>
      </c>
      <c r="J25" s="104">
        <f>J21*Data!G16</f>
        <v>13.916717399999962</v>
      </c>
      <c r="K25" s="104">
        <f>K21*Data!H16</f>
        <v>30.4196214</v>
      </c>
      <c r="L25" s="104">
        <f>L21*Data!I16</f>
        <v>46.922525399999984</v>
      </c>
      <c r="M25" s="104">
        <f>M21*Data!J16</f>
        <v>48.758579999999959</v>
      </c>
      <c r="N25" s="104">
        <f>N21*Data!K16</f>
        <v>48.758580000000016</v>
      </c>
      <c r="O25" s="104">
        <f>O21*Data!L16</f>
        <v>48.758579999999988</v>
      </c>
      <c r="P25" s="104">
        <f>P21*Data!M16</f>
        <v>48.758580000000016</v>
      </c>
      <c r="Q25" s="104">
        <f>Q21*Data!N16</f>
        <v>48.758579999999988</v>
      </c>
      <c r="R25" s="104">
        <f>R21*Data!O16</f>
        <v>48.758579999999988</v>
      </c>
      <c r="S25" s="104">
        <f>S21*Data!P16</f>
        <v>48.758580000000009</v>
      </c>
      <c r="T25" s="104">
        <f>T21*Data!Q16</f>
        <v>48.758580000000009</v>
      </c>
    </row>
    <row r="26" spans="2:20" x14ac:dyDescent="0.25">
      <c r="B26" s="72" t="s">
        <v>12</v>
      </c>
      <c r="C26" s="13" t="s">
        <v>133</v>
      </c>
      <c r="D26" s="99" t="s">
        <v>12</v>
      </c>
      <c r="E26" s="19" t="s">
        <v>93</v>
      </c>
      <c r="F26" s="36"/>
      <c r="G26" s="15" t="s">
        <v>90</v>
      </c>
      <c r="H26" s="103">
        <f>INDEX(Data!$B$5:$K$8,MATCH(Data!$B$7,Data!$B$5:$B$8,0),MATCH($D26,Data!$B$5:$K$5,0))</f>
        <v>22.275539999999999</v>
      </c>
      <c r="I26" s="103">
        <f>INDEX(Data!$B$5:$K$8,MATCH(Data!$B$7,Data!$B$5:$B$8,0),MATCH($D26,Data!$B$5:$K$5,0))</f>
        <v>22.275539999999999</v>
      </c>
      <c r="J26" s="103">
        <f>INDEX(Data!$B$5:$K$8,MATCH(Data!$B$7,Data!$B$5:$B$8,0),MATCH($D26,Data!$B$5:$K$5,0))</f>
        <v>22.275539999999999</v>
      </c>
      <c r="K26" s="103">
        <f>INDEX(Data!$B$5:$K$8,MATCH(Data!$B$7,Data!$B$5:$B$8,0),MATCH($D26,Data!$B$5:$K$5,0))</f>
        <v>22.275539999999999</v>
      </c>
      <c r="L26" s="103">
        <f>INDEX(Data!$B$5:$K$8,MATCH(Data!$B$7,Data!$B$5:$B$8,0),MATCH($D26,Data!$B$5:$K$5,0))</f>
        <v>22.275539999999999</v>
      </c>
      <c r="M26" s="103">
        <f>INDEX(Data!$B$5:$K$8,MATCH(Data!$B$7,Data!$B$5:$B$8,0),MATCH($D26,Data!$B$5:$K$5,0))</f>
        <v>22.275539999999999</v>
      </c>
      <c r="N26" s="103">
        <f>INDEX(Data!$B$5:$K$8,MATCH(Data!$B$7,Data!$B$5:$B$8,0),MATCH($D26,Data!$B$5:$K$5,0))</f>
        <v>22.275539999999999</v>
      </c>
      <c r="O26" s="103">
        <f>INDEX(Data!$B$5:$K$8,MATCH(Data!$B$7,Data!$B$5:$B$8,0),MATCH($D26,Data!$B$5:$K$5,0))</f>
        <v>22.275539999999999</v>
      </c>
      <c r="P26" s="103">
        <f>INDEX(Data!$B$5:$K$8,MATCH(Data!$B$7,Data!$B$5:$B$8,0),MATCH($D26,Data!$B$5:$K$5,0))</f>
        <v>22.275539999999999</v>
      </c>
      <c r="Q26" s="103">
        <f>INDEX(Data!$B$5:$K$8,MATCH(Data!$B$7,Data!$B$5:$B$8,0),MATCH($D26,Data!$B$5:$K$5,0))</f>
        <v>22.275539999999999</v>
      </c>
      <c r="R26" s="103">
        <f>INDEX(Data!$B$5:$K$8,MATCH(Data!$B$7,Data!$B$5:$B$8,0),MATCH($D26,Data!$B$5:$K$5,0))</f>
        <v>22.275539999999999</v>
      </c>
      <c r="S26" s="103">
        <f>INDEX(Data!$B$5:$K$8,MATCH(Data!$B$7,Data!$B$5:$B$8,0),MATCH($D26,Data!$B$5:$K$5,0))</f>
        <v>22.275539999999999</v>
      </c>
      <c r="T26" s="103">
        <f>INDEX(Data!$B$5:$K$8,MATCH(Data!$B$7,Data!$B$5:$B$8,0),MATCH($D26,Data!$B$5:$K$5,0))</f>
        <v>22.275539999999999</v>
      </c>
    </row>
    <row r="27" spans="2:20" x14ac:dyDescent="0.25">
      <c r="B27" s="72"/>
      <c r="C27" s="13" t="s">
        <v>134</v>
      </c>
      <c r="D27" s="32"/>
      <c r="E27" s="19" t="s">
        <v>101</v>
      </c>
      <c r="F27" s="15" t="s">
        <v>102</v>
      </c>
      <c r="G27" s="15" t="s">
        <v>103</v>
      </c>
      <c r="H27" s="26">
        <f>H26/1000</f>
        <v>2.227554E-2</v>
      </c>
      <c r="I27" s="26">
        <f t="shared" ref="I27:T27" si="3">I26/1000</f>
        <v>2.227554E-2</v>
      </c>
      <c r="J27" s="26">
        <f t="shared" si="3"/>
        <v>2.227554E-2</v>
      </c>
      <c r="K27" s="26">
        <f t="shared" si="3"/>
        <v>2.227554E-2</v>
      </c>
      <c r="L27" s="26">
        <f t="shared" si="3"/>
        <v>2.227554E-2</v>
      </c>
      <c r="M27" s="26">
        <f t="shared" si="3"/>
        <v>2.227554E-2</v>
      </c>
      <c r="N27" s="26">
        <f t="shared" si="3"/>
        <v>2.227554E-2</v>
      </c>
      <c r="O27" s="26">
        <f t="shared" si="3"/>
        <v>2.227554E-2</v>
      </c>
      <c r="P27" s="26">
        <f t="shared" si="3"/>
        <v>2.227554E-2</v>
      </c>
      <c r="Q27" s="26">
        <f t="shared" si="3"/>
        <v>2.227554E-2</v>
      </c>
      <c r="R27" s="26">
        <f t="shared" si="3"/>
        <v>2.227554E-2</v>
      </c>
      <c r="S27" s="26">
        <f t="shared" si="3"/>
        <v>2.227554E-2</v>
      </c>
      <c r="T27" s="26">
        <f t="shared" si="3"/>
        <v>2.227554E-2</v>
      </c>
    </row>
    <row r="28" spans="2:20" x14ac:dyDescent="0.25">
      <c r="B28" s="72"/>
      <c r="C28" s="13" t="s">
        <v>135</v>
      </c>
      <c r="D28" s="32"/>
      <c r="E28" s="19"/>
      <c r="F28" s="15" t="s">
        <v>136</v>
      </c>
      <c r="G28" s="15" t="s">
        <v>123</v>
      </c>
      <c r="H28" s="26">
        <f>MAX((H26-H$4),0)*Data!$E$8</f>
        <v>0</v>
      </c>
      <c r="I28" s="26">
        <f>MAX((I26-I$4),0)*Data!$E$8</f>
        <v>0</v>
      </c>
      <c r="J28" s="26">
        <f>MAX((J26-J$4),0)*Data!$E$8</f>
        <v>0</v>
      </c>
      <c r="K28" s="26">
        <f>MAX((K26-K$4),0)*Data!$E$8</f>
        <v>0</v>
      </c>
      <c r="L28" s="26">
        <f>MAX((L26-L$4),0)*Data!$E$8</f>
        <v>0</v>
      </c>
      <c r="M28" s="26">
        <f>MAX((M26-M$4),0)*Data!$E$8</f>
        <v>0</v>
      </c>
      <c r="N28" s="26">
        <f>MAX((N26-N$4),0)*Data!$E$8</f>
        <v>0</v>
      </c>
      <c r="O28" s="26">
        <f>MAX((O26-O$4),0)*Data!$E$8</f>
        <v>0</v>
      </c>
      <c r="P28" s="26">
        <f>MAX((P26-P$4),0)*Data!$E$8</f>
        <v>0</v>
      </c>
      <c r="Q28" s="26">
        <f>MAX((Q26-Q$4),0)*Data!$E$8</f>
        <v>0</v>
      </c>
      <c r="R28" s="26">
        <f>MAX((R26-R$4),0)*Data!$E$8</f>
        <v>0</v>
      </c>
      <c r="S28" s="26">
        <f>MAX((S26-S$4),0)*Data!$E$8</f>
        <v>0</v>
      </c>
      <c r="T28" s="26">
        <f>MAX((T26-T$4),0)*Data!$E$8</f>
        <v>0</v>
      </c>
    </row>
    <row r="29" spans="2:20" x14ac:dyDescent="0.25">
      <c r="B29" s="72"/>
      <c r="C29" s="34" t="s">
        <v>137</v>
      </c>
      <c r="D29" s="96" t="str">
        <f>'CCC Summary'!$C$32</f>
        <v>LR/UMAS B100 - Avg Price</v>
      </c>
      <c r="E29" s="75" t="s">
        <v>93</v>
      </c>
      <c r="F29" s="22" t="str">
        <f>IF('CCC Summary'!$C$27="Yes",'CCC Summary'!$D$27,"")</f>
        <v/>
      </c>
      <c r="G29" s="22" t="s">
        <v>112</v>
      </c>
      <c r="H29" s="104">
        <f>IF($D$29="Enter fixed price",'CCC Summary'!$C$33/(Data!$E$8*1000),INDEX(Data!$B$30:$AA$39,MATCH($D$29,Data!$B$30:$B$39,0),MATCH(H$3,Data!$B$30:$AA$30,0)))</f>
        <v>33.900000000000006</v>
      </c>
      <c r="I29" s="104">
        <f>IF($D$29="Enter fixed price",'CCC Summary'!$C$33/(Data!$E$8*1000),INDEX(Data!$B$30:$AA$39,MATCH($D$29,Data!$B$30:$B$39,0),MATCH(I$3,Data!$B$30:$AA$30,0)))</f>
        <v>35.199999999999996</v>
      </c>
      <c r="J29" s="104">
        <f>IF($D$29="Enter fixed price",'CCC Summary'!$C$33/(Data!$E$8*1000),INDEX(Data!$B$30:$AA$39,MATCH($D$29,Data!$B$30:$B$39,0),MATCH(J$3,Data!$B$30:$AA$30,0)))</f>
        <v>36.5</v>
      </c>
      <c r="K29" s="104">
        <f>IF($D$29="Enter fixed price",'CCC Summary'!$C$33/(Data!$E$8*1000),INDEX(Data!$B$30:$AA$39,MATCH($D$29,Data!$B$30:$B$39,0),MATCH(K$3,Data!$B$30:$AA$30,0)))</f>
        <v>37.9</v>
      </c>
      <c r="L29" s="104">
        <f>IF($D$29="Enter fixed price",'CCC Summary'!$C$33/(Data!$E$8*1000),INDEX(Data!$B$30:$AA$39,MATCH($D$29,Data!$B$30:$B$39,0),MATCH(L$3,Data!$B$30:$AA$30,0)))</f>
        <v>39.299999999999997</v>
      </c>
      <c r="M29" s="104">
        <f>IF($D$29="Enter fixed price",'CCC Summary'!$C$33/(Data!$E$8*1000),INDEX(Data!$B$30:$AA$39,MATCH($D$29,Data!$B$30:$B$39,0),MATCH(M$3,Data!$B$30:$AA$30,0)))</f>
        <v>40.700000000000003</v>
      </c>
      <c r="N29" s="104">
        <f>IF($D$29="Enter fixed price",'CCC Summary'!$C$33/(Data!$E$8*1000),INDEX(Data!$B$30:$AA$39,MATCH($D$29,Data!$B$30:$B$39,0),MATCH(N$3,Data!$B$30:$AA$30,0)))</f>
        <v>42.1</v>
      </c>
      <c r="O29" s="104">
        <f>IF($D$29="Enter fixed price",'CCC Summary'!$C$33/(Data!$E$8*1000),INDEX(Data!$B$30:$AA$39,MATCH($D$29,Data!$B$30:$B$39,0),MATCH(O$3,Data!$B$30:$AA$30,0)))</f>
        <v>43.5</v>
      </c>
      <c r="P29" s="104">
        <f>IF($D$29="Enter fixed price",'CCC Summary'!$C$33/(Data!$E$8*1000),INDEX(Data!$B$30:$AA$39,MATCH($D$29,Data!$B$30:$B$39,0),MATCH(P$3,Data!$B$30:$AA$30,0)))</f>
        <v>44.9</v>
      </c>
      <c r="Q29" s="104">
        <f>IF($D$29="Enter fixed price",'CCC Summary'!$C$33/(Data!$E$8*1000),INDEX(Data!$B$30:$AA$39,MATCH($D$29,Data!$B$30:$B$39,0),MATCH(Q$3,Data!$B$30:$AA$30,0)))</f>
        <v>46.3</v>
      </c>
      <c r="R29" s="104">
        <f>IF($D$29="Enter fixed price",'CCC Summary'!$C$33/(Data!$E$8*1000),INDEX(Data!$B$30:$AA$39,MATCH($D$29,Data!$B$30:$B$39,0),MATCH(R$3,Data!$B$30:$AA$30,0)))</f>
        <v>47.7</v>
      </c>
      <c r="S29" s="104">
        <f>IF($D$29="Enter fixed price",'CCC Summary'!$C$33/(Data!$E$8*1000),INDEX(Data!$B$30:$AA$39,MATCH($D$29,Data!$B$30:$B$39,0),MATCH(S$3,Data!$B$30:$AA$30,0)))</f>
        <v>49.1</v>
      </c>
      <c r="T29" s="104">
        <f>IF($D$29="Enter fixed price",'CCC Summary'!$C$33/(Data!$E$8*1000),INDEX(Data!$B$30:$AA$39,MATCH($D$29,Data!$B$30:$B$39,0),MATCH(T$3,Data!$B$30:$AA$30,0)))</f>
        <v>50.5</v>
      </c>
    </row>
    <row r="30" spans="2:20" x14ac:dyDescent="0.25">
      <c r="B30" s="72" t="s">
        <v>138</v>
      </c>
      <c r="C30" s="13" t="s">
        <v>139</v>
      </c>
      <c r="D30" s="99" t="str">
        <f>"Bio-methane "&amp;IF(D18="Otto dual fuel (LP)","(LP)","(HP)")</f>
        <v>Bio-methane (HP)</v>
      </c>
      <c r="E30" s="19" t="s">
        <v>93</v>
      </c>
      <c r="F30" s="36"/>
      <c r="G30" s="15" t="s">
        <v>90</v>
      </c>
      <c r="H30" s="103">
        <f>INDEX(Data!$B$5:$K$8,MATCH(Data!$B$7,Data!$B$5:$B$8,0),MATCH($D30,Data!$B$5:$K$5,0))</f>
        <v>20.619759999999999</v>
      </c>
      <c r="I30" s="103">
        <f>INDEX(Data!$B$5:$K$8,MATCH(Data!$B$7,Data!$B$5:$B$8,0),MATCH($D30,Data!$B$5:$K$5,0))</f>
        <v>20.619759999999999</v>
      </c>
      <c r="J30" s="103">
        <f>INDEX(Data!$B$5:$K$8,MATCH(Data!$B$7,Data!$B$5:$B$8,0),MATCH($D30,Data!$B$5:$K$5,0))</f>
        <v>20.619759999999999</v>
      </c>
      <c r="K30" s="103">
        <f>INDEX(Data!$B$5:$K$8,MATCH(Data!$B$7,Data!$B$5:$B$8,0),MATCH($D30,Data!$B$5:$K$5,0))</f>
        <v>20.619759999999999</v>
      </c>
      <c r="L30" s="103">
        <f>INDEX(Data!$B$5:$K$8,MATCH(Data!$B$7,Data!$B$5:$B$8,0),MATCH($D30,Data!$B$5:$K$5,0))</f>
        <v>20.619759999999999</v>
      </c>
      <c r="M30" s="103">
        <f>INDEX(Data!$B$5:$K$8,MATCH(Data!$B$7,Data!$B$5:$B$8,0),MATCH($D30,Data!$B$5:$K$5,0))</f>
        <v>20.619759999999999</v>
      </c>
      <c r="N30" s="103">
        <f>INDEX(Data!$B$5:$K$8,MATCH(Data!$B$7,Data!$B$5:$B$8,0),MATCH($D30,Data!$B$5:$K$5,0))</f>
        <v>20.619759999999999</v>
      </c>
      <c r="O30" s="103">
        <f>INDEX(Data!$B$5:$K$8,MATCH(Data!$B$7,Data!$B$5:$B$8,0),MATCH($D30,Data!$B$5:$K$5,0))</f>
        <v>20.619759999999999</v>
      </c>
      <c r="P30" s="103">
        <f>INDEX(Data!$B$5:$K$8,MATCH(Data!$B$7,Data!$B$5:$B$8,0),MATCH($D30,Data!$B$5:$K$5,0))</f>
        <v>20.619759999999999</v>
      </c>
      <c r="Q30" s="103">
        <f>INDEX(Data!$B$5:$K$8,MATCH(Data!$B$7,Data!$B$5:$B$8,0),MATCH($D30,Data!$B$5:$K$5,0))</f>
        <v>20.619759999999999</v>
      </c>
      <c r="R30" s="103">
        <f>INDEX(Data!$B$5:$K$8,MATCH(Data!$B$7,Data!$B$5:$B$8,0),MATCH($D30,Data!$B$5:$K$5,0))</f>
        <v>20.619759999999999</v>
      </c>
      <c r="S30" s="103">
        <f>INDEX(Data!$B$5:$K$8,MATCH(Data!$B$7,Data!$B$5:$B$8,0),MATCH($D30,Data!$B$5:$K$5,0))</f>
        <v>20.619759999999999</v>
      </c>
      <c r="T30" s="103">
        <f>INDEX(Data!$B$5:$K$8,MATCH(Data!$B$7,Data!$B$5:$B$8,0),MATCH($D30,Data!$B$5:$K$5,0))</f>
        <v>20.619759999999999</v>
      </c>
    </row>
    <row r="31" spans="2:20" x14ac:dyDescent="0.25">
      <c r="B31" s="72"/>
      <c r="C31" s="13" t="s">
        <v>140</v>
      </c>
      <c r="D31" s="32"/>
      <c r="E31" s="19" t="s">
        <v>101</v>
      </c>
      <c r="F31" s="15" t="s">
        <v>102</v>
      </c>
      <c r="G31" s="15" t="s">
        <v>103</v>
      </c>
      <c r="H31" s="26">
        <f>H30/1000</f>
        <v>2.0619760000000001E-2</v>
      </c>
      <c r="I31" s="26">
        <f t="shared" ref="I31:T31" si="4">I30/1000</f>
        <v>2.0619760000000001E-2</v>
      </c>
      <c r="J31" s="26">
        <f t="shared" si="4"/>
        <v>2.0619760000000001E-2</v>
      </c>
      <c r="K31" s="26">
        <f t="shared" si="4"/>
        <v>2.0619760000000001E-2</v>
      </c>
      <c r="L31" s="26">
        <f t="shared" si="4"/>
        <v>2.0619760000000001E-2</v>
      </c>
      <c r="M31" s="26">
        <f t="shared" si="4"/>
        <v>2.0619760000000001E-2</v>
      </c>
      <c r="N31" s="26">
        <f t="shared" si="4"/>
        <v>2.0619760000000001E-2</v>
      </c>
      <c r="O31" s="26">
        <f t="shared" si="4"/>
        <v>2.0619760000000001E-2</v>
      </c>
      <c r="P31" s="26">
        <f t="shared" si="4"/>
        <v>2.0619760000000001E-2</v>
      </c>
      <c r="Q31" s="26">
        <f t="shared" si="4"/>
        <v>2.0619760000000001E-2</v>
      </c>
      <c r="R31" s="26">
        <f t="shared" si="4"/>
        <v>2.0619760000000001E-2</v>
      </c>
      <c r="S31" s="26">
        <f t="shared" si="4"/>
        <v>2.0619760000000001E-2</v>
      </c>
      <c r="T31" s="26">
        <f t="shared" si="4"/>
        <v>2.0619760000000001E-2</v>
      </c>
    </row>
    <row r="32" spans="2:20" x14ac:dyDescent="0.25">
      <c r="B32" s="72"/>
      <c r="C32" s="13" t="s">
        <v>141</v>
      </c>
      <c r="D32" s="32"/>
      <c r="E32" s="19"/>
      <c r="F32" s="15" t="s">
        <v>142</v>
      </c>
      <c r="G32" s="15" t="s">
        <v>123</v>
      </c>
      <c r="H32" s="26">
        <f>MAX((H30-H$4),0)*Data!$E$8</f>
        <v>0</v>
      </c>
      <c r="I32" s="26">
        <f>MAX((I30-I$4),0)*Data!$E$8</f>
        <v>0</v>
      </c>
      <c r="J32" s="26">
        <f>MAX((J30-J$4),0)*Data!$E$8</f>
        <v>0</v>
      </c>
      <c r="K32" s="26">
        <f>MAX((K30-K$4),0)*Data!$E$8</f>
        <v>0</v>
      </c>
      <c r="L32" s="26">
        <f>MAX((L30-L$4),0)*Data!$E$8</f>
        <v>0</v>
      </c>
      <c r="M32" s="26">
        <f>MAX((M30-M$4),0)*Data!$E$8</f>
        <v>0</v>
      </c>
      <c r="N32" s="26">
        <f>MAX((N30-N$4),0)*Data!$E$8</f>
        <v>0</v>
      </c>
      <c r="O32" s="26">
        <f>MAX((O30-O$4),0)*Data!$E$8</f>
        <v>0</v>
      </c>
      <c r="P32" s="26">
        <f>MAX((P30-P$4),0)*Data!$E$8</f>
        <v>0</v>
      </c>
      <c r="Q32" s="26">
        <f>MAX((Q30-Q$4),0)*Data!$E$8</f>
        <v>0</v>
      </c>
      <c r="R32" s="26">
        <f>MAX((R30-R$4),0)*Data!$E$8</f>
        <v>0</v>
      </c>
      <c r="S32" s="26">
        <f>MAX((S30-S$4),0)*Data!$E$8</f>
        <v>0</v>
      </c>
      <c r="T32" s="26">
        <f>MAX((T30-T$4),0)*Data!$E$8</f>
        <v>0</v>
      </c>
    </row>
    <row r="33" spans="2:20" x14ac:dyDescent="0.25">
      <c r="B33" s="72"/>
      <c r="C33" s="34" t="s">
        <v>143</v>
      </c>
      <c r="D33" s="96" t="str">
        <f>'CCC Summary'!$C$46</f>
        <v>MMM Bio-methane Cost</v>
      </c>
      <c r="E33" s="75" t="s">
        <v>93</v>
      </c>
      <c r="F33" s="22" t="str">
        <f>IF('CCC Summary'!$C$27="Yes",'CCC Summary'!$D$27,"")</f>
        <v/>
      </c>
      <c r="G33" s="22" t="s">
        <v>112</v>
      </c>
      <c r="H33" s="104">
        <f>IF($D$33="Enter fixed price",'CCC Summary'!$C$47/(Data!$E$8*1000),INDEX(Data!$B$30:$AA$39,MATCH($D$33,Data!$B$30:$B$39,0),MATCH(H$3,Data!$B$30:$AA$30,0)))</f>
        <v>37.733100403066011</v>
      </c>
      <c r="I33" s="104">
        <f>IF($D$33="Enter fixed price",'CCC Summary'!$C$47/(Data!$E$8*1000),INDEX(Data!$B$30:$AA$39,MATCH($D$33,Data!$B$30:$B$39,0),MATCH(I$3,Data!$B$30:$AA$30,0)))</f>
        <v>38.342146911849333</v>
      </c>
      <c r="J33" s="104">
        <f>IF($D$33="Enter fixed price",'CCC Summary'!$C$47/(Data!$E$8*1000),INDEX(Data!$B$30:$AA$39,MATCH($D$33,Data!$B$30:$B$39,0),MATCH(J$3,Data!$B$30:$AA$30,0)))</f>
        <v>38.940653333333337</v>
      </c>
      <c r="K33" s="104">
        <f>IF($D$33="Enter fixed price",'CCC Summary'!$C$47/(Data!$E$8*1000),INDEX(Data!$B$30:$AA$39,MATCH($D$33,Data!$B$30:$B$39,0),MATCH(K$3,Data!$B$30:$AA$30,0)))</f>
        <v>39.678942813058462</v>
      </c>
      <c r="L33" s="104">
        <f>IF($D$33="Enter fixed price",'CCC Summary'!$C$47/(Data!$E$8*1000),INDEX(Data!$B$30:$AA$39,MATCH($D$33,Data!$B$30:$B$39,0),MATCH(L$3,Data!$B$30:$AA$30,0)))</f>
        <v>40.406937977316012</v>
      </c>
      <c r="M33" s="104">
        <f>IF($D$33="Enter fixed price",'CCC Summary'!$C$47/(Data!$E$8*1000),INDEX(Data!$B$30:$AA$39,MATCH($D$33,Data!$B$30:$B$39,0),MATCH(M$3,Data!$B$30:$AA$30,0)))</f>
        <v>41.12659098936421</v>
      </c>
      <c r="N33" s="104">
        <f>IF($D$33="Enter fixed price",'CCC Summary'!$C$47/(Data!$E$8*1000),INDEX(Data!$B$30:$AA$39,MATCH($D$33,Data!$B$30:$B$39,0),MATCH(N$3,Data!$B$30:$AA$30,0)))</f>
        <v>41.833969319082563</v>
      </c>
      <c r="O33" s="104">
        <f>IF($D$33="Enter fixed price",'CCC Summary'!$C$47/(Data!$E$8*1000),INDEX(Data!$B$30:$AA$39,MATCH($D$33,Data!$B$30:$B$39,0),MATCH(O$3,Data!$B$30:$AA$30,0)))</f>
        <v>42.531053333333332</v>
      </c>
      <c r="P33" s="104">
        <f>IF($D$33="Enter fixed price",'CCC Summary'!$C$47/(Data!$E$8*1000),INDEX(Data!$B$30:$AA$39,MATCH($D$33,Data!$B$30:$B$39,0),MATCH(P$3,Data!$B$30:$AA$30,0)))</f>
        <v>43.412034814050593</v>
      </c>
      <c r="Q33" s="104">
        <f>IF($D$33="Enter fixed price",'CCC Summary'!$C$47/(Data!$E$8*1000),INDEX(Data!$B$30:$AA$39,MATCH($D$33,Data!$B$30:$B$39,0),MATCH(Q$3,Data!$B$30:$AA$30,0)))</f>
        <v>44.282938006995622</v>
      </c>
      <c r="R33" s="104">
        <f>IF($D$33="Enter fixed price",'CCC Summary'!$C$47/(Data!$E$8*1000),INDEX(Data!$B$30:$AA$39,MATCH($D$33,Data!$B$30:$B$39,0),MATCH(R$3,Data!$B$30:$AA$30,0)))</f>
        <v>45.139003878327202</v>
      </c>
      <c r="S33" s="104">
        <f>IF($D$33="Enter fixed price",'CCC Summary'!$C$47/(Data!$E$8*1000),INDEX(Data!$B$30:$AA$39,MATCH($D$33,Data!$B$30:$B$39,0),MATCH(S$3,Data!$B$30:$AA$30,0)))</f>
        <v>45.982628987106438</v>
      </c>
      <c r="T33" s="104">
        <f>IF($D$33="Enter fixed price",'CCC Summary'!$C$47/(Data!$E$8*1000),INDEX(Data!$B$30:$AA$39,MATCH($D$33,Data!$B$30:$B$39,0),MATCH(T$3,Data!$B$30:$AA$30,0)))</f>
        <v>46.813813333333343</v>
      </c>
    </row>
    <row r="34" spans="2:20" x14ac:dyDescent="0.25">
      <c r="B34" s="72" t="s">
        <v>23</v>
      </c>
      <c r="C34" s="13" t="s">
        <v>144</v>
      </c>
      <c r="D34" s="99" t="str">
        <f>'CCC Summary'!$C$51</f>
        <v>Min ZNZ Threshold</v>
      </c>
      <c r="E34" s="19" t="s">
        <v>93</v>
      </c>
      <c r="F34" s="36"/>
      <c r="G34" s="15" t="s">
        <v>90</v>
      </c>
      <c r="H34" s="103">
        <f>IF($D$34="Enter my own",'CCC Summary'!$C$52,IF(AND($D$34="Min ZNZ Threshold",H10&lt;2035),19,14))</f>
        <v>19</v>
      </c>
      <c r="I34" s="103">
        <f>IF($D$34="Enter my own",'CCC Summary'!$C$52,IF(AND($D$34="Min ZNZ Threshold",I10&lt;2035),19,14))</f>
        <v>19</v>
      </c>
      <c r="J34" s="103">
        <f>IF($D$34="Enter my own",'CCC Summary'!$C$52,IF(AND($D$34="Min ZNZ Threshold",J10&lt;2035),19,14))</f>
        <v>19</v>
      </c>
      <c r="K34" s="103">
        <f>IF($D$34="Enter my own",'CCC Summary'!$C$52,IF(AND($D$34="Min ZNZ Threshold",K10&lt;2035),19,14))</f>
        <v>19</v>
      </c>
      <c r="L34" s="103">
        <f>IF($D$34="Enter my own",'CCC Summary'!$C$52,IF(AND($D$34="Min ZNZ Threshold",L10&lt;2035),19,14))</f>
        <v>19</v>
      </c>
      <c r="M34" s="103">
        <f>IF($D$34="Enter my own",'CCC Summary'!$C$52,IF(AND($D$34="Min ZNZ Threshold",M10&lt;2035),19,14))</f>
        <v>19</v>
      </c>
      <c r="N34" s="103">
        <f>IF($D$34="Enter my own",'CCC Summary'!$C$52,IF(AND($D$34="Min ZNZ Threshold",N10&lt;2035),19,14))</f>
        <v>19</v>
      </c>
      <c r="O34" s="103">
        <f>IF($D$34="Enter my own",'CCC Summary'!$C$52,IF(AND($D$34="Min ZNZ Threshold",O10&lt;2035),19,14))</f>
        <v>14</v>
      </c>
      <c r="P34" s="103">
        <f>IF($D$34="Enter my own",'CCC Summary'!$C$52,IF(AND($D$34="Min ZNZ Threshold",P10&lt;2035),19,14))</f>
        <v>14</v>
      </c>
      <c r="Q34" s="103">
        <f>IF($D$34="Enter my own",'CCC Summary'!$C$52,IF(AND($D$34="Min ZNZ Threshold",Q10&lt;2035),19,14))</f>
        <v>14</v>
      </c>
      <c r="R34" s="103">
        <f>IF($D$34="Enter my own",'CCC Summary'!$C$52,IF(AND($D$34="Min ZNZ Threshold",R10&lt;2035),19,14))</f>
        <v>14</v>
      </c>
      <c r="S34" s="103">
        <f>IF($D$34="Enter my own",'CCC Summary'!$C$52,IF(AND($D$34="Min ZNZ Threshold",S10&lt;2035),19,14))</f>
        <v>14</v>
      </c>
      <c r="T34" s="103">
        <f>IF($D$34="Enter my own",'CCC Summary'!$C$52,IF(AND($D$34="Min ZNZ Threshold",T10&lt;2035),19,14))</f>
        <v>14</v>
      </c>
    </row>
    <row r="35" spans="2:20" x14ac:dyDescent="0.25">
      <c r="B35" s="72"/>
      <c r="C35" s="13" t="s">
        <v>145</v>
      </c>
      <c r="D35" s="32"/>
      <c r="E35" s="19" t="s">
        <v>101</v>
      </c>
      <c r="F35" s="15" t="s">
        <v>102</v>
      </c>
      <c r="G35" s="15" t="s">
        <v>103</v>
      </c>
      <c r="H35" s="26">
        <f>H34/1000</f>
        <v>1.9E-2</v>
      </c>
      <c r="I35" s="26">
        <f t="shared" ref="I35:T35" si="5">I34/1000</f>
        <v>1.9E-2</v>
      </c>
      <c r="J35" s="26">
        <f t="shared" si="5"/>
        <v>1.9E-2</v>
      </c>
      <c r="K35" s="26">
        <f t="shared" si="5"/>
        <v>1.9E-2</v>
      </c>
      <c r="L35" s="26">
        <f t="shared" si="5"/>
        <v>1.9E-2</v>
      </c>
      <c r="M35" s="26">
        <f t="shared" si="5"/>
        <v>1.9E-2</v>
      </c>
      <c r="N35" s="26">
        <f t="shared" si="5"/>
        <v>1.9E-2</v>
      </c>
      <c r="O35" s="26">
        <f t="shared" si="5"/>
        <v>1.4E-2</v>
      </c>
      <c r="P35" s="26">
        <f t="shared" si="5"/>
        <v>1.4E-2</v>
      </c>
      <c r="Q35" s="26">
        <f t="shared" si="5"/>
        <v>1.4E-2</v>
      </c>
      <c r="R35" s="26">
        <f t="shared" si="5"/>
        <v>1.4E-2</v>
      </c>
      <c r="S35" s="26">
        <f t="shared" si="5"/>
        <v>1.4E-2</v>
      </c>
      <c r="T35" s="26">
        <f t="shared" si="5"/>
        <v>1.4E-2</v>
      </c>
    </row>
    <row r="36" spans="2:20" x14ac:dyDescent="0.25">
      <c r="B36" s="72"/>
      <c r="C36" s="13" t="s">
        <v>146</v>
      </c>
      <c r="D36" s="32"/>
      <c r="E36" s="19"/>
      <c r="F36" s="15" t="s">
        <v>147</v>
      </c>
      <c r="G36" s="15" t="s">
        <v>123</v>
      </c>
      <c r="H36" s="26">
        <f>MAX((H34-H$4),0)*Data!$E$8</f>
        <v>0</v>
      </c>
      <c r="I36" s="26">
        <f>MAX((I34-I$4),0)*Data!$E$8</f>
        <v>0</v>
      </c>
      <c r="J36" s="26">
        <f>MAX((J34-J$4),0)*Data!$E$8</f>
        <v>0</v>
      </c>
      <c r="K36" s="26">
        <f>MAX((K34-K$4),0)*Data!$E$8</f>
        <v>0</v>
      </c>
      <c r="L36" s="26">
        <f>MAX((L34-L$4),0)*Data!$E$8</f>
        <v>0</v>
      </c>
      <c r="M36" s="26">
        <f>MAX((M34-M$4),0)*Data!$E$8</f>
        <v>0</v>
      </c>
      <c r="N36" s="26">
        <f>MAX((N34-N$4),0)*Data!$E$8</f>
        <v>0</v>
      </c>
      <c r="O36" s="26">
        <f>MAX((O34-O$4),0)*Data!$E$8</f>
        <v>0</v>
      </c>
      <c r="P36" s="26">
        <f>MAX((P34-P$4),0)*Data!$E$8</f>
        <v>0</v>
      </c>
      <c r="Q36" s="26">
        <f>MAX((Q34-Q$4),0)*Data!$E$8</f>
        <v>0</v>
      </c>
      <c r="R36" s="26">
        <f>MAX((R34-R$4),0)*Data!$E$8</f>
        <v>0</v>
      </c>
      <c r="S36" s="26">
        <f>MAX((S34-S$4),0)*Data!$E$8</f>
        <v>0</v>
      </c>
      <c r="T36" s="26">
        <f>MAX((T34-T$4),0)*Data!$E$8</f>
        <v>0</v>
      </c>
    </row>
    <row r="37" spans="2:20" x14ac:dyDescent="0.25">
      <c r="B37" s="72"/>
      <c r="C37" s="13" t="s">
        <v>148</v>
      </c>
      <c r="E37" s="19" t="s">
        <v>109</v>
      </c>
      <c r="F37" s="15" t="s">
        <v>149</v>
      </c>
      <c r="G37" s="15" t="s">
        <v>123</v>
      </c>
      <c r="H37" s="26">
        <f>MIN(MAX(0,(H$34-H$5)),(H$4-H$5))*Data!$E$8</f>
        <v>0</v>
      </c>
      <c r="I37" s="26">
        <f>MIN(MAX(0,(I$34-I$5)),(I$4-I$5))*Data!$E$8</f>
        <v>0</v>
      </c>
      <c r="J37" s="26">
        <f>MIN(MAX(0,(J$34-J$5)),(J$4-J$5))*Data!$E$8</f>
        <v>0</v>
      </c>
      <c r="K37" s="26">
        <f>MIN(MAX(0,(K$34-K$5)),(K$4-K$5))*Data!$E$8</f>
        <v>0</v>
      </c>
      <c r="L37" s="26">
        <f>MIN(MAX(0,(L$34-L$5)),(L$4-L$5))*Data!$E$8</f>
        <v>0</v>
      </c>
      <c r="M37" s="26">
        <f>MIN(MAX(0,(M$34-M$5)),(M$4-M$5))*Data!$E$8</f>
        <v>0</v>
      </c>
      <c r="N37" s="26">
        <f>MIN(MAX(0,(N$34-N$5)),(N$4-N$5))*Data!$E$8</f>
        <v>0</v>
      </c>
      <c r="O37" s="26">
        <f>MIN(MAX(0,(O$34-O$5)),(O$4-O$5))*Data!$E$8</f>
        <v>0</v>
      </c>
      <c r="P37" s="26">
        <f>MIN(MAX(0,(P$34-P$5)),(P$4-P$5))*Data!$E$8</f>
        <v>0</v>
      </c>
      <c r="Q37" s="26">
        <f>MIN(MAX(0,(Q$34-Q$5)),(Q$4-Q$5))*Data!$E$8</f>
        <v>0</v>
      </c>
      <c r="R37" s="26">
        <f>MIN(MAX(0,(R$34-R$5)),(R$4-R$5))*Data!$E$8</f>
        <v>0</v>
      </c>
      <c r="S37" s="26">
        <f>MIN(MAX(0,(S$34-S$5)),(S$4-S$5))*Data!$E$8</f>
        <v>0</v>
      </c>
      <c r="T37" s="26">
        <f>MIN(MAX(0,(T$34-T$5)),(T$4-T$5))*Data!$E$8</f>
        <v>0</v>
      </c>
    </row>
    <row r="38" spans="2:20" x14ac:dyDescent="0.25">
      <c r="B38" s="72"/>
      <c r="C38" s="13" t="s">
        <v>150</v>
      </c>
      <c r="D38" s="32"/>
      <c r="E38" s="19" t="s">
        <v>151</v>
      </c>
      <c r="F38" s="15" t="s">
        <v>147</v>
      </c>
      <c r="G38" s="15" t="s">
        <v>128</v>
      </c>
      <c r="H38" s="26">
        <f>MIN((H34-H5)*Data!$E$8,0)</f>
        <v>-2.3492477999999997</v>
      </c>
      <c r="I38" s="26">
        <f>MIN((I34-I5)*Data!$E$8,0)</f>
        <v>-2.2742345999999998</v>
      </c>
      <c r="J38" s="26">
        <f>MIN((J34-J5)*Data!$E$8,0)</f>
        <v>-2.1992214000000003</v>
      </c>
      <c r="K38" s="26">
        <f>MIN((K34-K5)*Data!$E$8,0)</f>
        <v>-2.03419236</v>
      </c>
      <c r="L38" s="26">
        <f>MIN((L34-L5)*Data!$E$8,0)</f>
        <v>-1.86916332</v>
      </c>
      <c r="M38" s="26">
        <f>MIN((M34-M5)*Data!$E$8,0)</f>
        <v>-1.7041342800000001</v>
      </c>
      <c r="N38" s="26">
        <f>MIN((N34-N5)*Data!$E$8,0)</f>
        <v>-1.5391052399999998</v>
      </c>
      <c r="O38" s="26">
        <f>MIN((O34-O5)*Data!$E$8,0)</f>
        <v>-1.5750761999999574</v>
      </c>
      <c r="P38" s="26">
        <f>MIN((P34-P5)*Data!$E$8,0)</f>
        <v>-1.3125299999999829</v>
      </c>
      <c r="Q38" s="26">
        <f>MIN((Q34-Q5)*Data!$E$8,0)</f>
        <v>-1.0499838000000086</v>
      </c>
      <c r="R38" s="26">
        <f>MIN((R34-R5)*Data!$E$8,0)</f>
        <v>-0.78743759999992746</v>
      </c>
      <c r="S38" s="26">
        <f>MIN((S34-S5)*Data!$E$8,0)</f>
        <v>-0.52489139999995305</v>
      </c>
      <c r="T38" s="26">
        <f>MIN((T34-T5)*Data!$E$8,0)</f>
        <v>-0.26234519999997857</v>
      </c>
    </row>
    <row r="39" spans="2:20" x14ac:dyDescent="0.25">
      <c r="B39" s="72"/>
      <c r="C39" s="13" t="s">
        <v>152</v>
      </c>
      <c r="D39" s="96" t="str">
        <f>'CCC Summary'!$C$53</f>
        <v>MMM ZNZ - Avg Cost</v>
      </c>
      <c r="E39" s="19" t="s">
        <v>93</v>
      </c>
      <c r="F39" s="15" t="str">
        <f>IF('CCC Summary'!$C$27="Yes",'CCC Summary'!$D$27,"")</f>
        <v/>
      </c>
      <c r="G39" s="15" t="s">
        <v>112</v>
      </c>
      <c r="H39" s="26">
        <f>IF($D$39="Enter fixed price",'CCC Summary'!$C$54/(Data!$E$8*1000),INDEX(Data!$B$30:$AA$39,MATCH($D$39,Data!$B$30:$B$39,0),MATCH(H$3,Data!$B$30:$AA$30,0)))</f>
        <v>49.155895453136402</v>
      </c>
      <c r="I39" s="26">
        <f>IF($D$39="Enter fixed price",'CCC Summary'!$C$54/(Data!$E$8*1000),INDEX(Data!$B$30:$AA$39,MATCH($D$39,Data!$B$30:$B$39,0),MATCH(I$3,Data!$B$30:$AA$30,0)))</f>
        <v>46.21322714258794</v>
      </c>
      <c r="J39" s="26">
        <f>IF($D$39="Enter fixed price",'CCC Summary'!$C$54/(Data!$E$8*1000),INDEX(Data!$B$30:$AA$39,MATCH($D$39,Data!$B$30:$B$39,0),MATCH(J$3,Data!$B$30:$AA$30,0)))</f>
        <v>43.223897239433271</v>
      </c>
      <c r="K39" s="26">
        <f>IF($D$39="Enter fixed price",'CCC Summary'!$C$54/(Data!$E$8*1000),INDEX(Data!$B$30:$AA$39,MATCH($D$39,Data!$B$30:$B$39,0),MATCH(K$3,Data!$B$30:$AA$30,0)))</f>
        <v>42.444564729750361</v>
      </c>
      <c r="L39" s="26">
        <f>IF($D$39="Enter fixed price",'CCC Summary'!$C$54/(Data!$E$8*1000),INDEX(Data!$B$30:$AA$39,MATCH($D$39,Data!$B$30:$B$39,0),MATCH(L$3,Data!$B$30:$AA$30,0)))</f>
        <v>41.592068900672885</v>
      </c>
      <c r="M39" s="26">
        <f>IF($D$39="Enter fixed price",'CCC Summary'!$C$54/(Data!$E$8*1000),INDEX(Data!$B$30:$AA$39,MATCH($D$39,Data!$B$30:$B$39,0),MATCH(M$3,Data!$B$30:$AA$30,0)))</f>
        <v>40.666858608946939</v>
      </c>
      <c r="N39" s="26">
        <f>IF($D$39="Enter fixed price",'CCC Summary'!$C$54/(Data!$E$8*1000),INDEX(Data!$B$30:$AA$39,MATCH($D$39,Data!$B$30:$B$39,0),MATCH(N$3,Data!$B$30:$AA$30,0)))</f>
        <v>39.66938271131859</v>
      </c>
      <c r="O39" s="26">
        <f>IF($D$39="Enter fixed price",'CCC Summary'!$C$54/(Data!$E$8*1000),INDEX(Data!$B$30:$AA$39,MATCH($D$39,Data!$B$30:$B$39,0),MATCH(O$3,Data!$B$30:$AA$30,0)))</f>
        <v>38.600090064535287</v>
      </c>
      <c r="P39" s="26">
        <f>IF($D$39="Enter fixed price",'CCC Summary'!$C$54/(Data!$E$8*1000),INDEX(Data!$B$30:$AA$39,MATCH($D$39,Data!$B$30:$B$39,0),MATCH(P$3,Data!$B$30:$AA$30,0)))</f>
        <v>37.733066164815156</v>
      </c>
      <c r="Q39" s="26">
        <f>IF($D$39="Enter fixed price",'CCC Summary'!$C$54/(Data!$E$8*1000),INDEX(Data!$B$30:$AA$39,MATCH($D$39,Data!$B$30:$B$39,0),MATCH(Q$3,Data!$B$30:$AA$30,0)))</f>
        <v>36.816388607703651</v>
      </c>
      <c r="R39" s="26">
        <f>IF($D$39="Enter fixed price",'CCC Summary'!$C$54/(Data!$E$8*1000),INDEX(Data!$B$30:$AA$39,MATCH($D$39,Data!$B$30:$B$39,0),MATCH(R$3,Data!$B$30:$AA$30,0)))</f>
        <v>35.85022952820573</v>
      </c>
      <c r="S39" s="26">
        <f>IF($D$39="Enter fixed price",'CCC Summary'!$C$54/(Data!$E$8*1000),INDEX(Data!$B$30:$AA$39,MATCH($D$39,Data!$B$30:$B$39,0),MATCH(S$3,Data!$B$30:$AA$30,0)))</f>
        <v>34.83476106132396</v>
      </c>
      <c r="T39" s="26">
        <f>IF($D$39="Enter fixed price",'CCC Summary'!$C$54/(Data!$E$8*1000),INDEX(Data!$B$30:$AA$39,MATCH($D$39,Data!$B$30:$B$39,0),MATCH(T$3,Data!$B$30:$AA$30,0)))</f>
        <v>33.770155342062679</v>
      </c>
    </row>
    <row r="40" spans="2:20" x14ac:dyDescent="0.25">
      <c r="H40" s="70"/>
      <c r="I40" s="70"/>
      <c r="J40" s="70"/>
      <c r="K40" s="70"/>
      <c r="L40" s="70"/>
      <c r="M40" s="70"/>
      <c r="N40" s="70"/>
      <c r="O40" s="70"/>
      <c r="P40" s="70"/>
      <c r="Q40" s="70"/>
      <c r="R40" s="70"/>
      <c r="S40" s="70"/>
      <c r="T40" s="70"/>
    </row>
    <row r="41" spans="2:20" x14ac:dyDescent="0.25">
      <c r="C41" s="16" t="s">
        <v>153</v>
      </c>
    </row>
    <row r="42" spans="2:20" x14ac:dyDescent="0.25">
      <c r="C42" s="35" t="s">
        <v>154</v>
      </c>
      <c r="D42" s="95" t="s">
        <v>98</v>
      </c>
      <c r="E42" s="69" t="s">
        <v>71</v>
      </c>
      <c r="F42" s="69" t="s">
        <v>85</v>
      </c>
      <c r="G42" s="28" t="s">
        <v>86</v>
      </c>
      <c r="H42" s="101">
        <v>2028</v>
      </c>
      <c r="I42" s="101">
        <v>2029</v>
      </c>
      <c r="J42" s="101">
        <v>2030</v>
      </c>
      <c r="K42" s="101">
        <v>2031</v>
      </c>
      <c r="L42" s="101">
        <v>2032</v>
      </c>
      <c r="M42" s="101">
        <v>2033</v>
      </c>
      <c r="N42" s="101">
        <v>2034</v>
      </c>
      <c r="O42" s="101">
        <v>2035</v>
      </c>
      <c r="P42" s="100">
        <v>2036</v>
      </c>
      <c r="Q42" s="100">
        <v>2037</v>
      </c>
      <c r="R42" s="101">
        <v>2038</v>
      </c>
      <c r="S42" s="101">
        <v>2039</v>
      </c>
      <c r="T42" s="101">
        <v>2040</v>
      </c>
    </row>
    <row r="43" spans="2:20" x14ac:dyDescent="0.25">
      <c r="C43" t="s">
        <v>23</v>
      </c>
      <c r="D43" s="96" t="str">
        <f>'CCC Summary'!$C$22</f>
        <v>No</v>
      </c>
      <c r="E43" s="67" t="s">
        <v>155</v>
      </c>
      <c r="F43" s="68" t="s">
        <v>156</v>
      </c>
      <c r="G43" s="67" t="s">
        <v>157</v>
      </c>
      <c r="H43" s="105" t="str">
        <f>IF($D43="No","NA",MAX(H88,0))</f>
        <v>NA</v>
      </c>
      <c r="I43" s="105" t="str">
        <f t="shared" ref="I43:T43" si="6">IF($D43="No","NA",MAX(I88,0))</f>
        <v>NA</v>
      </c>
      <c r="J43" s="105" t="str">
        <f t="shared" si="6"/>
        <v>NA</v>
      </c>
      <c r="K43" s="105" t="str">
        <f t="shared" si="6"/>
        <v>NA</v>
      </c>
      <c r="L43" s="105" t="str">
        <f t="shared" si="6"/>
        <v>NA</v>
      </c>
      <c r="M43" s="105" t="str">
        <f t="shared" si="6"/>
        <v>NA</v>
      </c>
      <c r="N43" s="105" t="str">
        <f t="shared" si="6"/>
        <v>NA</v>
      </c>
      <c r="O43" s="105" t="str">
        <f t="shared" si="6"/>
        <v>NA</v>
      </c>
      <c r="P43" s="105" t="str">
        <f t="shared" si="6"/>
        <v>NA</v>
      </c>
      <c r="Q43" s="105" t="str">
        <f t="shared" si="6"/>
        <v>NA</v>
      </c>
      <c r="R43" s="105" t="str">
        <f t="shared" si="6"/>
        <v>NA</v>
      </c>
      <c r="S43" s="105" t="str">
        <f t="shared" si="6"/>
        <v>NA</v>
      </c>
      <c r="T43" s="105" t="str">
        <f t="shared" si="6"/>
        <v>NA</v>
      </c>
    </row>
    <row r="44" spans="2:20" x14ac:dyDescent="0.25">
      <c r="C44" t="s">
        <v>158</v>
      </c>
      <c r="D44" s="96" t="str">
        <f>'CCC Summary'!$C$20</f>
        <v>Yes</v>
      </c>
      <c r="E44" s="67" t="s">
        <v>159</v>
      </c>
      <c r="F44"/>
      <c r="G44" s="67" t="s">
        <v>157</v>
      </c>
      <c r="H44" s="105">
        <f>IF($D44="No","NA",MAX(H54,0))</f>
        <v>268.00339598295881</v>
      </c>
      <c r="I44" s="105">
        <f t="shared" ref="I44:T44" si="7">IF($D44="No","NA",MAX(I54,0))</f>
        <v>291.07655794790975</v>
      </c>
      <c r="J44" s="105">
        <f t="shared" si="7"/>
        <v>314.14971991285853</v>
      </c>
      <c r="K44" s="105">
        <f t="shared" si="7"/>
        <v>333.23562242452243</v>
      </c>
      <c r="L44" s="105">
        <f t="shared" si="7"/>
        <v>352.32152493618628</v>
      </c>
      <c r="M44" s="105">
        <f t="shared" si="7"/>
        <v>371.40742744785018</v>
      </c>
      <c r="N44" s="105">
        <f t="shared" si="7"/>
        <v>390.49332995951403</v>
      </c>
      <c r="O44" s="105">
        <f t="shared" si="7"/>
        <v>409.57923247117793</v>
      </c>
      <c r="P44" s="105">
        <f t="shared" si="7"/>
        <v>428.66513498284178</v>
      </c>
      <c r="Q44" s="105">
        <f t="shared" si="7"/>
        <v>447.75103749450562</v>
      </c>
      <c r="R44" s="105">
        <f t="shared" si="7"/>
        <v>466.83694000616958</v>
      </c>
      <c r="S44" s="105">
        <f t="shared" si="7"/>
        <v>485.92284251783343</v>
      </c>
      <c r="T44" s="105">
        <f t="shared" si="7"/>
        <v>505.00874502949728</v>
      </c>
    </row>
    <row r="45" spans="2:20" x14ac:dyDescent="0.25">
      <c r="C45" t="s">
        <v>160</v>
      </c>
      <c r="D45" s="148" t="str">
        <f>'CCC Summary'!$C$21</f>
        <v>Yes</v>
      </c>
      <c r="E45" s="67" t="s">
        <v>159</v>
      </c>
      <c r="F45"/>
      <c r="G45" s="67" t="s">
        <v>157</v>
      </c>
      <c r="H45" s="105">
        <f>IF($D45="No","NA",MAX(H69,0))</f>
        <v>428.29345012272921</v>
      </c>
      <c r="I45" s="105">
        <f t="shared" ref="I45:T45" si="8">IF($D45="No","NA",MAX(I69,0))</f>
        <v>457.66342272834925</v>
      </c>
      <c r="J45" s="105">
        <f t="shared" si="8"/>
        <v>486.84700712557276</v>
      </c>
      <c r="K45" s="105">
        <f t="shared" si="8"/>
        <v>499.99427890958833</v>
      </c>
      <c r="L45" s="105">
        <f t="shared" si="8"/>
        <v>512.95950865142913</v>
      </c>
      <c r="M45" s="105">
        <f t="shared" si="8"/>
        <v>525.77721790692874</v>
      </c>
      <c r="N45" s="105">
        <f t="shared" si="8"/>
        <v>538.37786481909814</v>
      </c>
      <c r="O45" s="105">
        <f t="shared" si="8"/>
        <v>550.79646968909242</v>
      </c>
      <c r="P45" s="105">
        <f t="shared" si="8"/>
        <v>566.81176136073168</v>
      </c>
      <c r="Q45" s="105">
        <f t="shared" si="8"/>
        <v>582.64883116871613</v>
      </c>
      <c r="R45" s="105">
        <f t="shared" si="8"/>
        <v>598.22352157561988</v>
      </c>
      <c r="S45" s="105">
        <f t="shared" si="8"/>
        <v>613.57821271901003</v>
      </c>
      <c r="T45" s="105">
        <f t="shared" si="8"/>
        <v>628.71290459888678</v>
      </c>
    </row>
    <row r="46" spans="2:20" x14ac:dyDescent="0.25">
      <c r="C46" t="s">
        <v>161</v>
      </c>
      <c r="D46" s="122"/>
      <c r="E46" s="67" t="s">
        <v>162</v>
      </c>
      <c r="F46"/>
      <c r="G46" s="67" t="s">
        <v>163</v>
      </c>
      <c r="H46" s="105">
        <f>Data!E15</f>
        <v>380</v>
      </c>
      <c r="I46" s="105">
        <f>Data!F15</f>
        <v>380</v>
      </c>
      <c r="J46" s="105">
        <f>Data!G15</f>
        <v>380</v>
      </c>
      <c r="K46" s="105">
        <f>Data!H15</f>
        <v>380</v>
      </c>
      <c r="L46" s="105">
        <f>Data!I15</f>
        <v>380</v>
      </c>
      <c r="M46" s="105">
        <f>Data!J15</f>
        <v>380</v>
      </c>
      <c r="N46" s="105">
        <f>Data!K15</f>
        <v>380</v>
      </c>
      <c r="O46" s="105">
        <f>Data!L15</f>
        <v>380</v>
      </c>
      <c r="P46" s="105">
        <f>Data!M15</f>
        <v>380</v>
      </c>
      <c r="Q46" s="105">
        <f>Data!N15</f>
        <v>380</v>
      </c>
      <c r="R46" s="105">
        <f>Data!O15</f>
        <v>380</v>
      </c>
      <c r="S46" s="105">
        <f>Data!P15</f>
        <v>380</v>
      </c>
      <c r="T46" s="105">
        <f>Data!Q15</f>
        <v>380</v>
      </c>
    </row>
    <row r="47" spans="2:20" x14ac:dyDescent="0.25">
      <c r="C47" t="s">
        <v>164</v>
      </c>
      <c r="D47"/>
      <c r="E47" s="67" t="s">
        <v>283</v>
      </c>
      <c r="F47"/>
      <c r="G47" s="67" t="s">
        <v>165</v>
      </c>
      <c r="H47" s="105">
        <f>MIN(H43:H46)</f>
        <v>268.00339598295881</v>
      </c>
      <c r="I47" s="105">
        <f t="shared" ref="I47:T47" si="9">MIN(I43:I46)</f>
        <v>291.07655794790975</v>
      </c>
      <c r="J47" s="105">
        <f t="shared" si="9"/>
        <v>314.14971991285853</v>
      </c>
      <c r="K47" s="105">
        <f t="shared" si="9"/>
        <v>333.23562242452243</v>
      </c>
      <c r="L47" s="105">
        <f t="shared" si="9"/>
        <v>352.32152493618628</v>
      </c>
      <c r="M47" s="105">
        <f t="shared" si="9"/>
        <v>371.40742744785018</v>
      </c>
      <c r="N47" s="105">
        <f t="shared" si="9"/>
        <v>380</v>
      </c>
      <c r="O47" s="105">
        <f t="shared" si="9"/>
        <v>380</v>
      </c>
      <c r="P47" s="105">
        <f t="shared" si="9"/>
        <v>380</v>
      </c>
      <c r="Q47" s="105">
        <f t="shared" si="9"/>
        <v>380</v>
      </c>
      <c r="R47" s="105">
        <f t="shared" si="9"/>
        <v>380</v>
      </c>
      <c r="S47" s="105">
        <f t="shared" si="9"/>
        <v>380</v>
      </c>
      <c r="T47" s="105">
        <f t="shared" si="9"/>
        <v>380</v>
      </c>
    </row>
    <row r="48" spans="2:20" x14ac:dyDescent="0.25">
      <c r="D48"/>
      <c r="F48"/>
      <c r="G48" s="67"/>
      <c r="H48" s="105"/>
      <c r="I48" s="105"/>
      <c r="J48" s="105"/>
      <c r="K48" s="105"/>
      <c r="L48" s="105"/>
      <c r="M48" s="105"/>
      <c r="N48" s="105"/>
      <c r="O48" s="105"/>
      <c r="P48" s="105"/>
      <c r="Q48" s="105"/>
      <c r="R48" s="105"/>
      <c r="S48" s="105"/>
      <c r="T48" s="105"/>
    </row>
    <row r="49" spans="2:22" x14ac:dyDescent="0.25">
      <c r="H49" s="131"/>
    </row>
    <row r="50" spans="2:22" x14ac:dyDescent="0.25">
      <c r="C50" s="16" t="s">
        <v>166</v>
      </c>
      <c r="D50" s="19"/>
      <c r="E50" s="19"/>
      <c r="F50" s="15"/>
      <c r="G50" s="15"/>
    </row>
    <row r="51" spans="2:22" s="76" customFormat="1" x14ac:dyDescent="0.25">
      <c r="B51" s="66"/>
      <c r="C51" s="35" t="s">
        <v>97</v>
      </c>
      <c r="D51" s="69" t="s">
        <v>98</v>
      </c>
      <c r="E51" s="69" t="s">
        <v>71</v>
      </c>
      <c r="F51" s="69" t="s">
        <v>85</v>
      </c>
      <c r="G51" s="28" t="s">
        <v>86</v>
      </c>
      <c r="H51" s="101">
        <v>2028</v>
      </c>
      <c r="I51" s="101">
        <v>2029</v>
      </c>
      <c r="J51" s="101">
        <v>2030</v>
      </c>
      <c r="K51" s="101">
        <v>2031</v>
      </c>
      <c r="L51" s="101">
        <v>2032</v>
      </c>
      <c r="M51" s="101">
        <v>2033</v>
      </c>
      <c r="N51" s="101">
        <v>2034</v>
      </c>
      <c r="O51" s="101">
        <v>2035</v>
      </c>
      <c r="P51" s="100">
        <v>2036</v>
      </c>
      <c r="Q51" s="100">
        <v>2037</v>
      </c>
      <c r="R51" s="101">
        <v>2038</v>
      </c>
      <c r="S51" s="101">
        <v>2039</v>
      </c>
      <c r="T51" s="101">
        <v>2040</v>
      </c>
    </row>
    <row r="52" spans="2:22" s="76" customFormat="1" x14ac:dyDescent="0.25">
      <c r="B52" s="66"/>
      <c r="C52" s="13" t="s">
        <v>167</v>
      </c>
      <c r="D52" s="19"/>
      <c r="E52" s="19" t="s">
        <v>168</v>
      </c>
      <c r="F52" s="15" t="s">
        <v>169</v>
      </c>
      <c r="G52" s="15" t="s">
        <v>112</v>
      </c>
      <c r="H52" s="26">
        <f>H$29-H$15</f>
        <v>19.658737864077708</v>
      </c>
      <c r="I52" s="26">
        <f t="shared" ref="I52:T52" si="10">I$29-I$15</f>
        <v>21.351213592233108</v>
      </c>
      <c r="J52" s="26">
        <f t="shared" si="10"/>
        <v>23.043689320388353</v>
      </c>
      <c r="K52" s="26">
        <f t="shared" si="10"/>
        <v>24.443689320388351</v>
      </c>
      <c r="L52" s="26">
        <f t="shared" si="10"/>
        <v>25.84368932038835</v>
      </c>
      <c r="M52" s="26">
        <f t="shared" si="10"/>
        <v>27.243689320388356</v>
      </c>
      <c r="N52" s="26">
        <f t="shared" si="10"/>
        <v>28.643689320388354</v>
      </c>
      <c r="O52" s="26">
        <f t="shared" si="10"/>
        <v>30.043689320388353</v>
      </c>
      <c r="P52" s="26">
        <f t="shared" si="10"/>
        <v>31.443689320388351</v>
      </c>
      <c r="Q52" s="26">
        <f t="shared" si="10"/>
        <v>32.84368932038835</v>
      </c>
      <c r="R52" s="26">
        <f t="shared" si="10"/>
        <v>34.243689320388356</v>
      </c>
      <c r="S52" s="26">
        <f t="shared" si="10"/>
        <v>35.643689320388354</v>
      </c>
      <c r="T52" s="26">
        <f t="shared" si="10"/>
        <v>37.043689320388353</v>
      </c>
    </row>
    <row r="53" spans="2:22" x14ac:dyDescent="0.25">
      <c r="C53" s="13" t="s">
        <v>170</v>
      </c>
      <c r="D53" s="19"/>
      <c r="E53" s="19"/>
      <c r="F53" s="15" t="s">
        <v>171</v>
      </c>
      <c r="G53" s="15" t="s">
        <v>172</v>
      </c>
      <c r="H53" s="26">
        <f>H$12-H$27</f>
        <v>7.3352570000000006E-2</v>
      </c>
      <c r="I53" s="26">
        <f>I$12-I$27</f>
        <v>7.3352570000000006E-2</v>
      </c>
      <c r="J53" s="26">
        <f t="shared" ref="J53:T53" si="11">J$12-J$27</f>
        <v>7.3352570000000006E-2</v>
      </c>
      <c r="K53" s="26">
        <f t="shared" si="11"/>
        <v>7.3352570000000006E-2</v>
      </c>
      <c r="L53" s="26">
        <f t="shared" si="11"/>
        <v>7.3352570000000006E-2</v>
      </c>
      <c r="M53" s="26">
        <f t="shared" si="11"/>
        <v>7.3352570000000006E-2</v>
      </c>
      <c r="N53" s="26">
        <f t="shared" si="11"/>
        <v>7.3352570000000006E-2</v>
      </c>
      <c r="O53" s="26">
        <f t="shared" si="11"/>
        <v>7.3352570000000006E-2</v>
      </c>
      <c r="P53" s="26">
        <f t="shared" si="11"/>
        <v>7.3352570000000006E-2</v>
      </c>
      <c r="Q53" s="26">
        <f t="shared" si="11"/>
        <v>7.3352570000000006E-2</v>
      </c>
      <c r="R53" s="26">
        <f t="shared" si="11"/>
        <v>7.3352570000000006E-2</v>
      </c>
      <c r="S53" s="26">
        <f t="shared" si="11"/>
        <v>7.3352570000000006E-2</v>
      </c>
      <c r="T53" s="26">
        <f t="shared" si="11"/>
        <v>7.3352570000000006E-2</v>
      </c>
    </row>
    <row r="54" spans="2:22" x14ac:dyDescent="0.25">
      <c r="B54" s="77" t="s">
        <v>173</v>
      </c>
      <c r="C54" s="13" t="s">
        <v>174</v>
      </c>
      <c r="D54" s="19"/>
      <c r="E54" s="19" t="s">
        <v>175</v>
      </c>
      <c r="F54" s="15" t="s">
        <v>176</v>
      </c>
      <c r="G54" s="15" t="s">
        <v>157</v>
      </c>
      <c r="H54" s="26">
        <f>H52/H53</f>
        <v>268.00339598295881</v>
      </c>
      <c r="I54" s="26">
        <f t="shared" ref="I54:T54" si="12">I52/I53</f>
        <v>291.07655794790975</v>
      </c>
      <c r="J54" s="26">
        <f t="shared" si="12"/>
        <v>314.14971991285853</v>
      </c>
      <c r="K54" s="26">
        <f t="shared" si="12"/>
        <v>333.23562242452243</v>
      </c>
      <c r="L54" s="26">
        <f>L52/L53</f>
        <v>352.32152493618628</v>
      </c>
      <c r="M54" s="26">
        <f t="shared" si="12"/>
        <v>371.40742744785018</v>
      </c>
      <c r="N54" s="26">
        <f t="shared" si="12"/>
        <v>390.49332995951403</v>
      </c>
      <c r="O54" s="26">
        <f t="shared" si="12"/>
        <v>409.57923247117793</v>
      </c>
      <c r="P54" s="26">
        <f t="shared" si="12"/>
        <v>428.66513498284178</v>
      </c>
      <c r="Q54" s="26">
        <f t="shared" si="12"/>
        <v>447.75103749450562</v>
      </c>
      <c r="R54" s="26">
        <f t="shared" si="12"/>
        <v>466.83694000616958</v>
      </c>
      <c r="S54" s="26">
        <f t="shared" si="12"/>
        <v>485.92284251783343</v>
      </c>
      <c r="T54" s="26">
        <f t="shared" si="12"/>
        <v>505.00874502949728</v>
      </c>
    </row>
    <row r="55" spans="2:22" x14ac:dyDescent="0.25">
      <c r="C55" s="13" t="s">
        <v>177</v>
      </c>
      <c r="D55" s="19"/>
      <c r="E55" s="19" t="s">
        <v>178</v>
      </c>
      <c r="F55" s="15" t="s">
        <v>179</v>
      </c>
      <c r="G55" s="15" t="s">
        <v>163</v>
      </c>
      <c r="H55" s="26">
        <f>MIN(H54,Data!E$15)</f>
        <v>268.00339598295881</v>
      </c>
      <c r="I55" s="26">
        <f>MIN(I54,Data!F$15)</f>
        <v>291.07655794790975</v>
      </c>
      <c r="J55" s="26">
        <f>MIN(J54,Data!G$15)</f>
        <v>314.14971991285853</v>
      </c>
      <c r="K55" s="26">
        <f>MIN(K54,Data!H$15)</f>
        <v>333.23562242452243</v>
      </c>
      <c r="L55" s="26">
        <f>MIN(L54,Data!I$15)</f>
        <v>352.32152493618628</v>
      </c>
      <c r="M55" s="26">
        <f>MIN(M54,Data!J$15)</f>
        <v>371.40742744785018</v>
      </c>
      <c r="N55" s="26">
        <f>MIN(N54,Data!K$15)</f>
        <v>380</v>
      </c>
      <c r="O55" s="26">
        <f>MIN(O54,Data!L$15)</f>
        <v>380</v>
      </c>
      <c r="P55" s="26">
        <f>MIN(P54,Data!M$15)</f>
        <v>380</v>
      </c>
      <c r="Q55" s="26">
        <f>MIN(Q54,Data!N$15)</f>
        <v>380</v>
      </c>
      <c r="R55" s="26">
        <f>MIN(R54,Data!O$15)</f>
        <v>380</v>
      </c>
      <c r="S55" s="26">
        <f>MIN(S54,Data!P$15)</f>
        <v>380</v>
      </c>
      <c r="T55" s="26">
        <f>MIN(T54,Data!Q$15)</f>
        <v>380</v>
      </c>
    </row>
    <row r="56" spans="2:22" x14ac:dyDescent="0.25">
      <c r="C56" s="13" t="s">
        <v>180</v>
      </c>
      <c r="D56" s="19"/>
      <c r="E56" s="19" t="s">
        <v>181</v>
      </c>
      <c r="F56" s="15" t="s">
        <v>179</v>
      </c>
      <c r="G56" s="15"/>
      <c r="H56" s="26" t="str">
        <f>IF(H55=Data!E$15,Data!$B$15,$C$54)</f>
        <v>Bio-diesel blend abatement cost</v>
      </c>
      <c r="I56" s="26" t="str">
        <f>IF(I55=Data!F$15,Data!$B$15,$C$54)</f>
        <v>Bio-diesel blend abatement cost</v>
      </c>
      <c r="J56" s="26" t="str">
        <f>IF(J55=Data!G$15,Data!$B$15,$C$54)</f>
        <v>Bio-diesel blend abatement cost</v>
      </c>
      <c r="K56" s="26" t="str">
        <f>IF(K55=Data!H$15,Data!$B$15,$C$54)</f>
        <v>Bio-diesel blend abatement cost</v>
      </c>
      <c r="L56" s="26" t="str">
        <f>IF(L55=Data!I$15,Data!$B$15,$C$54)</f>
        <v>Bio-diesel blend abatement cost</v>
      </c>
      <c r="M56" s="26" t="str">
        <f>IF(M55=Data!J$15,Data!$B$15,$C$54)</f>
        <v>Bio-diesel blend abatement cost</v>
      </c>
      <c r="N56" s="26" t="str">
        <f>IF(N55=Data!K$15,Data!$B$15,$C$54)</f>
        <v>Tier 2 Remedial Unit Cost</v>
      </c>
      <c r="O56" s="26" t="str">
        <f>IF(O55=Data!L$15,Data!$B$15,$C$54)</f>
        <v>Tier 2 Remedial Unit Cost</v>
      </c>
      <c r="P56" s="26" t="str">
        <f>IF(P55=Data!M$15,Data!$B$15,$C$54)</f>
        <v>Tier 2 Remedial Unit Cost</v>
      </c>
      <c r="Q56" s="26" t="str">
        <f>IF(Q55=Data!N$15,Data!$B$15,$C$54)</f>
        <v>Tier 2 Remedial Unit Cost</v>
      </c>
      <c r="R56" s="26" t="str">
        <f>IF(R55=Data!O$15,Data!$B$15,$C$54)</f>
        <v>Tier 2 Remedial Unit Cost</v>
      </c>
      <c r="S56" s="26" t="str">
        <f>IF(S55=Data!P$15,Data!$B$15,$C$54)</f>
        <v>Tier 2 Remedial Unit Cost</v>
      </c>
      <c r="T56" s="26" t="str">
        <f>IF(T55=Data!Q$15,Data!$B$15,$C$54)</f>
        <v>Tier 2 Remedial Unit Cost</v>
      </c>
    </row>
    <row r="57" spans="2:22" x14ac:dyDescent="0.25">
      <c r="C57" s="13" t="s">
        <v>182</v>
      </c>
      <c r="D57" s="19"/>
      <c r="E57" s="19" t="s">
        <v>183</v>
      </c>
      <c r="F57" s="15" t="s">
        <v>184</v>
      </c>
      <c r="G57" s="15" t="s">
        <v>131</v>
      </c>
      <c r="H57" s="26">
        <f>IF(H56=Data!$B$15,H$16,H$54*H$13)</f>
        <v>65.290028413217698</v>
      </c>
      <c r="I57" s="26">
        <f>IF(I56=Data!$B$15,I$16,I$54*I$13)</f>
        <v>92.745613632003682</v>
      </c>
      <c r="J57" s="26">
        <f>IF(J56=Data!$B$15,J$16,J$54*J$13)</f>
        <v>123.66278227700734</v>
      </c>
      <c r="K57" s="26">
        <f>IF(K56=Data!$B$15,K$16,K$54*K$13)</f>
        <v>186.16936566463696</v>
      </c>
      <c r="L57" s="26">
        <f>IF(L56=Data!$B$15,L$16,L$54*L$13)</f>
        <v>254.97540539033372</v>
      </c>
      <c r="M57" s="26">
        <f>IF(M56=Data!$B$15,M$16,M$54*M$13)</f>
        <v>330.08090145409727</v>
      </c>
      <c r="N57" s="26">
        <f>IF(N56=Data!$B$15,N$16,N$54*N$13)</f>
        <v>400.42841316000016</v>
      </c>
      <c r="O57" s="26">
        <f>IF(O56=Data!$B$15,O$16,O$54*O$13)</f>
        <v>463.13944836001639</v>
      </c>
      <c r="P57" s="26">
        <f>IF(P56=Data!$B$15,P$16,P$54*P$13)</f>
        <v>562.90700436000657</v>
      </c>
      <c r="Q57" s="26">
        <f>IF(Q56=Data!$B$15,Q$16,Q$54*Q$13)</f>
        <v>662.6745603599968</v>
      </c>
      <c r="R57" s="26">
        <f>IF(R56=Data!$B$15,R$16,R$54*R$13)</f>
        <v>762.44211636002774</v>
      </c>
      <c r="S57" s="26">
        <f>IF(S56=Data!$B$15,S$16,S$54*S$13)</f>
        <v>862.20967236001786</v>
      </c>
      <c r="T57" s="26">
        <f>IF(T56=Data!$B$15,T$16,T$54*T$13)</f>
        <v>961.97722836000821</v>
      </c>
    </row>
    <row r="58" spans="2:22" x14ac:dyDescent="0.25">
      <c r="B58" s="77" t="s">
        <v>185</v>
      </c>
      <c r="C58" s="13" t="s">
        <v>186</v>
      </c>
      <c r="D58" s="19"/>
      <c r="E58" s="19" t="s">
        <v>183</v>
      </c>
      <c r="F58" s="15" t="s">
        <v>179</v>
      </c>
      <c r="G58" s="15" t="s">
        <v>131</v>
      </c>
      <c r="H58" s="26">
        <f>H$17</f>
        <v>48.758580000000016</v>
      </c>
      <c r="I58" s="26">
        <f t="shared" ref="I58:T58" si="13">I$17</f>
        <v>48.758580000000016</v>
      </c>
      <c r="J58" s="26">
        <f t="shared" si="13"/>
        <v>48.758579999999959</v>
      </c>
      <c r="K58" s="26">
        <f t="shared" si="13"/>
        <v>48.758580000000016</v>
      </c>
      <c r="L58" s="26">
        <f t="shared" si="13"/>
        <v>48.758579999999959</v>
      </c>
      <c r="M58" s="26">
        <f t="shared" si="13"/>
        <v>48.758579999999959</v>
      </c>
      <c r="N58" s="26">
        <f t="shared" si="13"/>
        <v>48.758580000000016</v>
      </c>
      <c r="O58" s="26">
        <f t="shared" si="13"/>
        <v>48.758579999999988</v>
      </c>
      <c r="P58" s="26">
        <f t="shared" si="13"/>
        <v>48.758580000000016</v>
      </c>
      <c r="Q58" s="26">
        <f t="shared" si="13"/>
        <v>48.758579999999988</v>
      </c>
      <c r="R58" s="26">
        <f t="shared" si="13"/>
        <v>48.758579999999988</v>
      </c>
      <c r="S58" s="26">
        <f t="shared" si="13"/>
        <v>48.758580000000009</v>
      </c>
      <c r="T58" s="26">
        <f t="shared" si="13"/>
        <v>48.758580000000009</v>
      </c>
      <c r="V58" s="66"/>
    </row>
    <row r="59" spans="2:22" x14ac:dyDescent="0.25">
      <c r="B59" s="72" t="s">
        <v>187</v>
      </c>
      <c r="C59" s="16" t="s">
        <v>64</v>
      </c>
      <c r="D59" s="167" t="str">
        <f>'CCC Summary'!$C$29</f>
        <v>Blend in bio-diesel when cheaper than RUs</v>
      </c>
      <c r="E59" s="78" t="s">
        <v>188</v>
      </c>
      <c r="F59" s="79"/>
      <c r="G59" s="79" t="s">
        <v>131</v>
      </c>
      <c r="H59" s="106">
        <f>H15*Data!$E$8*1000</f>
        <v>572.49873786407636</v>
      </c>
      <c r="I59" s="106">
        <f>I15*Data!$E$8*1000</f>
        <v>556.72121359222888</v>
      </c>
      <c r="J59" s="106">
        <f>J15*Data!$E$8*1000</f>
        <v>540.94368932038833</v>
      </c>
      <c r="K59" s="106">
        <f>K15*Data!$E$8*1000</f>
        <v>540.94368932038833</v>
      </c>
      <c r="L59" s="106">
        <f>L15*Data!$E$8*1000</f>
        <v>540.94368932038833</v>
      </c>
      <c r="M59" s="106">
        <f>M15*Data!$E$8*1000</f>
        <v>540.94368932038833</v>
      </c>
      <c r="N59" s="106">
        <f>N15*Data!$E$8*1000</f>
        <v>540.94368932038833</v>
      </c>
      <c r="O59" s="106">
        <f>O15*Data!$E$8*1000</f>
        <v>540.94368932038833</v>
      </c>
      <c r="P59" s="106">
        <f>P15*Data!$E$8*1000</f>
        <v>540.94368932038833</v>
      </c>
      <c r="Q59" s="106">
        <f>Q15*Data!$E$8*1000</f>
        <v>540.94368932038833</v>
      </c>
      <c r="R59" s="106">
        <f>R15*Data!$E$8*1000</f>
        <v>540.94368932038833</v>
      </c>
      <c r="S59" s="106">
        <f>S15*Data!$E$8*1000</f>
        <v>540.94368932038833</v>
      </c>
      <c r="T59" s="106">
        <f>T15*Data!$E$8*1000</f>
        <v>540.94368932038833</v>
      </c>
    </row>
    <row r="60" spans="2:22" x14ac:dyDescent="0.25">
      <c r="C60" s="16" t="s">
        <v>295</v>
      </c>
      <c r="D60" s="78"/>
      <c r="E60" s="78" t="s">
        <v>189</v>
      </c>
      <c r="F60" s="79"/>
      <c r="G60" s="79" t="s">
        <v>131</v>
      </c>
      <c r="H60" s="106">
        <f t="shared" ref="H60:T60" si="14">IF($D$59="LSFO only and always pay RU",H16,H57)</f>
        <v>65.290028413217698</v>
      </c>
      <c r="I60" s="106">
        <f t="shared" si="14"/>
        <v>92.745613632003682</v>
      </c>
      <c r="J60" s="106">
        <f t="shared" si="14"/>
        <v>123.66278227700734</v>
      </c>
      <c r="K60" s="106">
        <f t="shared" si="14"/>
        <v>186.16936566463696</v>
      </c>
      <c r="L60" s="106">
        <f t="shared" si="14"/>
        <v>254.97540539033372</v>
      </c>
      <c r="M60" s="106">
        <f t="shared" si="14"/>
        <v>330.08090145409727</v>
      </c>
      <c r="N60" s="106">
        <f t="shared" si="14"/>
        <v>400.42841316000016</v>
      </c>
      <c r="O60" s="106">
        <f t="shared" si="14"/>
        <v>463.13944836001639</v>
      </c>
      <c r="P60" s="106">
        <f t="shared" si="14"/>
        <v>562.90700436000657</v>
      </c>
      <c r="Q60" s="106">
        <f t="shared" si="14"/>
        <v>662.6745603599968</v>
      </c>
      <c r="R60" s="106">
        <f t="shared" si="14"/>
        <v>762.44211636002774</v>
      </c>
      <c r="S60" s="106">
        <f t="shared" si="14"/>
        <v>862.20967236001786</v>
      </c>
      <c r="T60" s="106">
        <f t="shared" si="14"/>
        <v>961.97722836000821</v>
      </c>
    </row>
    <row r="61" spans="2:22" ht="15.75" thickBot="1" x14ac:dyDescent="0.3">
      <c r="C61" s="80" t="s">
        <v>294</v>
      </c>
      <c r="D61" s="81"/>
      <c r="E61" s="81" t="s">
        <v>189</v>
      </c>
      <c r="F61" s="82"/>
      <c r="G61" s="82" t="s">
        <v>131</v>
      </c>
      <c r="H61" s="107">
        <f t="shared" ref="H61:T61" si="15">IF($D$59="LSFO only and always pay RU",H17,H58)</f>
        <v>48.758580000000016</v>
      </c>
      <c r="I61" s="107">
        <f t="shared" si="15"/>
        <v>48.758580000000016</v>
      </c>
      <c r="J61" s="107">
        <f t="shared" si="15"/>
        <v>48.758579999999959</v>
      </c>
      <c r="K61" s="107">
        <f t="shared" si="15"/>
        <v>48.758580000000016</v>
      </c>
      <c r="L61" s="107">
        <f t="shared" si="15"/>
        <v>48.758579999999959</v>
      </c>
      <c r="M61" s="107">
        <f t="shared" si="15"/>
        <v>48.758579999999959</v>
      </c>
      <c r="N61" s="107">
        <f t="shared" si="15"/>
        <v>48.758580000000016</v>
      </c>
      <c r="O61" s="107">
        <f t="shared" si="15"/>
        <v>48.758579999999988</v>
      </c>
      <c r="P61" s="107">
        <f t="shared" si="15"/>
        <v>48.758580000000016</v>
      </c>
      <c r="Q61" s="107">
        <f t="shared" si="15"/>
        <v>48.758579999999988</v>
      </c>
      <c r="R61" s="107">
        <f t="shared" si="15"/>
        <v>48.758579999999988</v>
      </c>
      <c r="S61" s="107">
        <f t="shared" si="15"/>
        <v>48.758580000000009</v>
      </c>
      <c r="T61" s="107">
        <f t="shared" si="15"/>
        <v>48.758580000000009</v>
      </c>
    </row>
    <row r="62" spans="2:22" ht="15.75" thickTop="1" x14ac:dyDescent="0.25">
      <c r="C62" s="16" t="s">
        <v>74</v>
      </c>
      <c r="D62" s="78"/>
      <c r="E62" s="78"/>
      <c r="F62" s="79" t="s">
        <v>190</v>
      </c>
      <c r="G62" s="79" t="s">
        <v>131</v>
      </c>
      <c r="H62" s="106">
        <f t="shared" ref="H62" si="16">SUM(H59:H61)</f>
        <v>686.54734627729408</v>
      </c>
      <c r="I62" s="106">
        <f t="shared" ref="I62:T62" si="17">SUM(I59:I61)</f>
        <v>698.22540722423264</v>
      </c>
      <c r="J62" s="106">
        <f t="shared" si="17"/>
        <v>713.36505159739556</v>
      </c>
      <c r="K62" s="106">
        <f t="shared" si="17"/>
        <v>775.87163498502537</v>
      </c>
      <c r="L62" s="106">
        <f t="shared" si="17"/>
        <v>844.67767471072193</v>
      </c>
      <c r="M62" s="106">
        <f t="shared" si="17"/>
        <v>919.7831707744856</v>
      </c>
      <c r="N62" s="106">
        <f t="shared" si="17"/>
        <v>990.1306824803886</v>
      </c>
      <c r="O62" s="106">
        <f t="shared" si="17"/>
        <v>1052.8417176804046</v>
      </c>
      <c r="P62" s="106">
        <f t="shared" si="17"/>
        <v>1152.6092736803948</v>
      </c>
      <c r="Q62" s="106">
        <f t="shared" si="17"/>
        <v>1252.3768296803851</v>
      </c>
      <c r="R62" s="106">
        <f t="shared" si="17"/>
        <v>1352.144385680416</v>
      </c>
      <c r="S62" s="106">
        <f t="shared" si="17"/>
        <v>1451.9119416804062</v>
      </c>
      <c r="T62" s="106">
        <f t="shared" si="17"/>
        <v>1551.6794976803965</v>
      </c>
    </row>
    <row r="63" spans="2:22" x14ac:dyDescent="0.25">
      <c r="C63" s="13"/>
      <c r="E63" s="19"/>
      <c r="H63" s="106"/>
      <c r="I63" s="106"/>
      <c r="J63" s="106"/>
    </row>
    <row r="65" spans="2:20" x14ac:dyDescent="0.25">
      <c r="C65" s="16" t="s">
        <v>191</v>
      </c>
      <c r="D65" s="19"/>
      <c r="E65" s="19"/>
      <c r="F65" s="15"/>
      <c r="G65" s="15"/>
    </row>
    <row r="66" spans="2:20" x14ac:dyDescent="0.25">
      <c r="C66" s="35" t="s">
        <v>97</v>
      </c>
      <c r="D66" s="69" t="s">
        <v>98</v>
      </c>
      <c r="E66" s="69" t="s">
        <v>71</v>
      </c>
      <c r="F66" s="69" t="s">
        <v>85</v>
      </c>
      <c r="G66" s="28" t="s">
        <v>86</v>
      </c>
      <c r="H66" s="101">
        <v>2028</v>
      </c>
      <c r="I66" s="101">
        <v>2029</v>
      </c>
      <c r="J66" s="101">
        <v>2030</v>
      </c>
      <c r="K66" s="101">
        <v>2031</v>
      </c>
      <c r="L66" s="101">
        <v>2032</v>
      </c>
      <c r="M66" s="101">
        <v>2033</v>
      </c>
      <c r="N66" s="101">
        <v>2034</v>
      </c>
      <c r="O66" s="101">
        <v>2035</v>
      </c>
      <c r="P66" s="100">
        <v>2036</v>
      </c>
      <c r="Q66" s="100">
        <v>2037</v>
      </c>
      <c r="R66" s="101">
        <v>2038</v>
      </c>
      <c r="S66" s="101">
        <v>2039</v>
      </c>
      <c r="T66" s="101">
        <v>2040</v>
      </c>
    </row>
    <row r="67" spans="2:20" x14ac:dyDescent="0.25">
      <c r="C67" s="13" t="s">
        <v>192</v>
      </c>
      <c r="D67" s="19"/>
      <c r="E67" s="19" t="s">
        <v>193</v>
      </c>
      <c r="F67" s="15" t="s">
        <v>169</v>
      </c>
      <c r="G67" s="15" t="s">
        <v>112</v>
      </c>
      <c r="H67" s="26">
        <f>H$33-H$23</f>
        <v>24.219613423269728</v>
      </c>
      <c r="I67" s="26">
        <f t="shared" ref="I67:T67" si="18">I$33-I$23</f>
        <v>25.880459234841922</v>
      </c>
      <c r="J67" s="26">
        <f t="shared" si="18"/>
        <v>27.530764959114798</v>
      </c>
      <c r="K67" s="26">
        <f t="shared" si="18"/>
        <v>28.274231477428991</v>
      </c>
      <c r="L67" s="26">
        <f t="shared" si="18"/>
        <v>29.007403680275615</v>
      </c>
      <c r="M67" s="26">
        <f t="shared" si="18"/>
        <v>29.732233730912881</v>
      </c>
      <c r="N67" s="26">
        <f t="shared" si="18"/>
        <v>30.444789099220309</v>
      </c>
      <c r="O67" s="26">
        <f t="shared" si="18"/>
        <v>31.147050152060153</v>
      </c>
      <c r="P67" s="26">
        <f t="shared" si="18"/>
        <v>32.052700642481767</v>
      </c>
      <c r="Q67" s="26">
        <f t="shared" si="18"/>
        <v>32.948272845131157</v>
      </c>
      <c r="R67" s="26">
        <f t="shared" si="18"/>
        <v>33.829007726167099</v>
      </c>
      <c r="S67" s="26">
        <f t="shared" si="18"/>
        <v>34.697301844650696</v>
      </c>
      <c r="T67" s="26">
        <f t="shared" si="18"/>
        <v>35.553155200581955</v>
      </c>
    </row>
    <row r="68" spans="2:20" x14ac:dyDescent="0.25">
      <c r="C68" s="13" t="s">
        <v>194</v>
      </c>
      <c r="D68" s="19"/>
      <c r="E68" s="19"/>
      <c r="F68" s="15" t="s">
        <v>171</v>
      </c>
      <c r="G68" s="15" t="s">
        <v>172</v>
      </c>
      <c r="H68" s="26">
        <f>H$19-H$31</f>
        <v>5.654911E-2</v>
      </c>
      <c r="I68" s="26">
        <f t="shared" ref="I68:T68" si="19">I$19-I$31</f>
        <v>5.654911E-2</v>
      </c>
      <c r="J68" s="26">
        <f t="shared" si="19"/>
        <v>5.654911E-2</v>
      </c>
      <c r="K68" s="26">
        <f t="shared" si="19"/>
        <v>5.654911E-2</v>
      </c>
      <c r="L68" s="26">
        <f t="shared" si="19"/>
        <v>5.654911E-2</v>
      </c>
      <c r="M68" s="26">
        <f t="shared" si="19"/>
        <v>5.654911E-2</v>
      </c>
      <c r="N68" s="26">
        <f t="shared" si="19"/>
        <v>5.654911E-2</v>
      </c>
      <c r="O68" s="26">
        <f t="shared" si="19"/>
        <v>5.654911E-2</v>
      </c>
      <c r="P68" s="26">
        <f t="shared" si="19"/>
        <v>5.654911E-2</v>
      </c>
      <c r="Q68" s="26">
        <f t="shared" si="19"/>
        <v>5.654911E-2</v>
      </c>
      <c r="R68" s="26">
        <f t="shared" si="19"/>
        <v>5.654911E-2</v>
      </c>
      <c r="S68" s="26">
        <f t="shared" si="19"/>
        <v>5.654911E-2</v>
      </c>
      <c r="T68" s="26">
        <f t="shared" si="19"/>
        <v>5.654911E-2</v>
      </c>
    </row>
    <row r="69" spans="2:20" x14ac:dyDescent="0.25">
      <c r="B69" s="77" t="s">
        <v>173</v>
      </c>
      <c r="C69" s="13" t="s">
        <v>195</v>
      </c>
      <c r="D69" s="19"/>
      <c r="E69" s="19" t="s">
        <v>175</v>
      </c>
      <c r="F69" s="15" t="s">
        <v>176</v>
      </c>
      <c r="G69" s="15" t="s">
        <v>157</v>
      </c>
      <c r="H69" s="26">
        <f>H67/H68</f>
        <v>428.29345012272921</v>
      </c>
      <c r="I69" s="26">
        <f t="shared" ref="I69:T69" si="20">I67/I68</f>
        <v>457.66342272834925</v>
      </c>
      <c r="J69" s="26">
        <f t="shared" si="20"/>
        <v>486.84700712557276</v>
      </c>
      <c r="K69" s="26">
        <f t="shared" si="20"/>
        <v>499.99427890958833</v>
      </c>
      <c r="L69" s="26">
        <f t="shared" si="20"/>
        <v>512.95950865142913</v>
      </c>
      <c r="M69" s="26">
        <f t="shared" si="20"/>
        <v>525.77721790692874</v>
      </c>
      <c r="N69" s="26">
        <f t="shared" si="20"/>
        <v>538.37786481909814</v>
      </c>
      <c r="O69" s="26">
        <f t="shared" si="20"/>
        <v>550.79646968909242</v>
      </c>
      <c r="P69" s="26">
        <f t="shared" si="20"/>
        <v>566.81176136073168</v>
      </c>
      <c r="Q69" s="26">
        <f t="shared" si="20"/>
        <v>582.64883116871613</v>
      </c>
      <c r="R69" s="26">
        <f t="shared" si="20"/>
        <v>598.22352157561988</v>
      </c>
      <c r="S69" s="26">
        <f t="shared" si="20"/>
        <v>613.57821271901003</v>
      </c>
      <c r="T69" s="26">
        <f t="shared" si="20"/>
        <v>628.71290459888678</v>
      </c>
    </row>
    <row r="70" spans="2:20" x14ac:dyDescent="0.25">
      <c r="C70" s="13" t="s">
        <v>177</v>
      </c>
      <c r="D70" s="19"/>
      <c r="E70" s="19" t="s">
        <v>178</v>
      </c>
      <c r="F70" s="15" t="s">
        <v>179</v>
      </c>
      <c r="G70" s="15" t="s">
        <v>163</v>
      </c>
      <c r="H70" s="26">
        <f>MIN(H69,Data!E$15)</f>
        <v>380</v>
      </c>
      <c r="I70" s="26">
        <f>MIN(I69,Data!F$15)</f>
        <v>380</v>
      </c>
      <c r="J70" s="26">
        <f>MIN(J69,Data!G$15)</f>
        <v>380</v>
      </c>
      <c r="K70" s="26">
        <f>MIN(K69,Data!H$15)</f>
        <v>380</v>
      </c>
      <c r="L70" s="26">
        <f>MIN(L69,Data!I$15)</f>
        <v>380</v>
      </c>
      <c r="M70" s="26">
        <f>MIN(M69,Data!J$15)</f>
        <v>380</v>
      </c>
      <c r="N70" s="26">
        <f>MIN(N69,Data!K$15)</f>
        <v>380</v>
      </c>
      <c r="O70" s="26">
        <f>MIN(O69,Data!L$15)</f>
        <v>380</v>
      </c>
      <c r="P70" s="26">
        <f>MIN(P69,Data!M$15)</f>
        <v>380</v>
      </c>
      <c r="Q70" s="26">
        <f>MIN(Q69,Data!N$15)</f>
        <v>380</v>
      </c>
      <c r="R70" s="26">
        <f>MIN(R69,Data!O$15)</f>
        <v>380</v>
      </c>
      <c r="S70" s="26">
        <f>MIN(S69,Data!P$15)</f>
        <v>380</v>
      </c>
      <c r="T70" s="26">
        <f>MIN(T69,Data!Q$15)</f>
        <v>380</v>
      </c>
    </row>
    <row r="71" spans="2:20" x14ac:dyDescent="0.25">
      <c r="C71" s="13" t="s">
        <v>180</v>
      </c>
      <c r="D71" s="19"/>
      <c r="E71" s="19" t="s">
        <v>181</v>
      </c>
      <c r="F71" s="15" t="s">
        <v>179</v>
      </c>
      <c r="G71" s="15"/>
      <c r="H71" s="26" t="str">
        <f>IF(H70=Data!E$15,Data!$B$15,$C69)</f>
        <v>Tier 2 Remedial Unit Cost</v>
      </c>
      <c r="I71" s="26" t="str">
        <f>IF(I70=Data!F$15,Data!$B$15,$C69)</f>
        <v>Tier 2 Remedial Unit Cost</v>
      </c>
      <c r="J71" s="26" t="str">
        <f>IF(J70=Data!G$15,Data!$B$15,$C69)</f>
        <v>Tier 2 Remedial Unit Cost</v>
      </c>
      <c r="K71" s="26" t="str">
        <f>IF(K70=Data!H$15,Data!$B$15,$C69)</f>
        <v>Tier 2 Remedial Unit Cost</v>
      </c>
      <c r="L71" s="26" t="str">
        <f>IF(L70=Data!I$15,Data!$B$15,$C69)</f>
        <v>Tier 2 Remedial Unit Cost</v>
      </c>
      <c r="M71" s="26" t="str">
        <f>IF(M70=Data!J$15,Data!$B$15,$C69)</f>
        <v>Tier 2 Remedial Unit Cost</v>
      </c>
      <c r="N71" s="26" t="str">
        <f>IF(N70=Data!K$15,Data!$B$15,$C69)</f>
        <v>Tier 2 Remedial Unit Cost</v>
      </c>
      <c r="O71" s="26" t="str">
        <f>IF(O70=Data!L$15,Data!$B$15,$C69)</f>
        <v>Tier 2 Remedial Unit Cost</v>
      </c>
      <c r="P71" s="26" t="str">
        <f>IF(P70=Data!M$15,Data!$B$15,$C69)</f>
        <v>Tier 2 Remedial Unit Cost</v>
      </c>
      <c r="Q71" s="26" t="str">
        <f>IF(Q70=Data!N$15,Data!$B$15,$C69)</f>
        <v>Tier 2 Remedial Unit Cost</v>
      </c>
      <c r="R71" s="26" t="str">
        <f>IF(R70=Data!O$15,Data!$B$15,$C69)</f>
        <v>Tier 2 Remedial Unit Cost</v>
      </c>
      <c r="S71" s="26" t="str">
        <f>IF(S70=Data!P$15,Data!$B$15,$C69)</f>
        <v>Tier 2 Remedial Unit Cost</v>
      </c>
      <c r="T71" s="26" t="str">
        <f>IF(T70=Data!Q$15,Data!$B$15,$C69)</f>
        <v>Tier 2 Remedial Unit Cost</v>
      </c>
    </row>
    <row r="72" spans="2:20" x14ac:dyDescent="0.25">
      <c r="C72" s="13" t="s">
        <v>182</v>
      </c>
      <c r="D72" s="19"/>
      <c r="E72" s="19" t="s">
        <v>183</v>
      </c>
      <c r="F72" s="15" t="s">
        <v>184</v>
      </c>
      <c r="G72" s="15" t="s">
        <v>131</v>
      </c>
      <c r="H72" s="26">
        <f>IF(H71=Data!$B$15,H$24,H$69*H$20)</f>
        <v>0</v>
      </c>
      <c r="I72" s="26">
        <f>IF(I71=Data!$B$15,I$24,I$69*I$20)</f>
        <v>0</v>
      </c>
      <c r="J72" s="26">
        <f>IF(J71=Data!$B$15,J$24,J$69*J$20)</f>
        <v>0</v>
      </c>
      <c r="K72" s="26">
        <f>IF(K71=Data!$B$15,K$24,K$69*K$20)</f>
        <v>0</v>
      </c>
      <c r="L72" s="26">
        <f>IF(L71=Data!$B$15,L$24,L$69*L$20)</f>
        <v>0</v>
      </c>
      <c r="M72" s="26">
        <f>IF(M71=Data!$B$15,M$24,M$69*M$20)</f>
        <v>55.734027720000043</v>
      </c>
      <c r="N72" s="26">
        <f>IF(N71=Data!$B$15,N$24,N$69*N$20)</f>
        <v>118.44506292</v>
      </c>
      <c r="O72" s="26">
        <f>IF(O71=Data!$B$15,O$24,O$69*O$20)</f>
        <v>181.15609812001622</v>
      </c>
      <c r="P72" s="26">
        <f>IF(P71=Data!$B$15,P$24,P$69*P$20)</f>
        <v>280.9236541200064</v>
      </c>
      <c r="Q72" s="26">
        <f>IF(Q71=Data!$B$15,Q$24,Q$69*Q$20)</f>
        <v>380.69121011999675</v>
      </c>
      <c r="R72" s="26">
        <f>IF(R71=Data!$B$15,R$24,R$69*R$20)</f>
        <v>480.45876612002758</v>
      </c>
      <c r="S72" s="26">
        <f>IF(S71=Data!$B$15,S$24,S$69*S$20)</f>
        <v>580.22632212001781</v>
      </c>
      <c r="T72" s="26">
        <f>IF(T71=Data!$B$15,T$24,T$69*T$20)</f>
        <v>679.99387812000816</v>
      </c>
    </row>
    <row r="73" spans="2:20" x14ac:dyDescent="0.25">
      <c r="B73" s="77" t="s">
        <v>185</v>
      </c>
      <c r="C73" s="13" t="s">
        <v>186</v>
      </c>
      <c r="D73" s="19"/>
      <c r="E73" s="19" t="s">
        <v>183</v>
      </c>
      <c r="F73" s="15" t="s">
        <v>179</v>
      </c>
      <c r="G73" s="15" t="s">
        <v>131</v>
      </c>
      <c r="H73" s="26">
        <f>H$25</f>
        <v>0</v>
      </c>
      <c r="I73" s="26">
        <f t="shared" ref="I73:T73" si="21">I$25</f>
        <v>6.4153974000000193</v>
      </c>
      <c r="J73" s="26">
        <f t="shared" si="21"/>
        <v>13.916717399999962</v>
      </c>
      <c r="K73" s="26">
        <f t="shared" si="21"/>
        <v>30.4196214</v>
      </c>
      <c r="L73" s="26">
        <f t="shared" si="21"/>
        <v>46.922525399999984</v>
      </c>
      <c r="M73" s="26">
        <f t="shared" si="21"/>
        <v>48.758579999999959</v>
      </c>
      <c r="N73" s="26">
        <f t="shared" si="21"/>
        <v>48.758580000000016</v>
      </c>
      <c r="O73" s="26">
        <f t="shared" si="21"/>
        <v>48.758579999999988</v>
      </c>
      <c r="P73" s="26">
        <f t="shared" si="21"/>
        <v>48.758580000000016</v>
      </c>
      <c r="Q73" s="26">
        <f t="shared" si="21"/>
        <v>48.758579999999988</v>
      </c>
      <c r="R73" s="26">
        <f t="shared" si="21"/>
        <v>48.758579999999988</v>
      </c>
      <c r="S73" s="26">
        <f t="shared" si="21"/>
        <v>48.758580000000009</v>
      </c>
      <c r="T73" s="26">
        <f t="shared" si="21"/>
        <v>48.758580000000009</v>
      </c>
    </row>
    <row r="74" spans="2:20" x14ac:dyDescent="0.25">
      <c r="B74" s="77" t="s">
        <v>75</v>
      </c>
      <c r="C74" s="13" t="s">
        <v>196</v>
      </c>
      <c r="D74" s="19"/>
      <c r="E74" s="19" t="s">
        <v>197</v>
      </c>
      <c r="F74" s="15" t="s">
        <v>198</v>
      </c>
      <c r="G74" s="15" t="s">
        <v>128</v>
      </c>
      <c r="H74" s="26">
        <f t="shared" ref="H74:T74" si="22">H22</f>
        <v>-1.0859225999999784E-2</v>
      </c>
      <c r="I74" s="26">
        <f t="shared" si="22"/>
        <v>0</v>
      </c>
      <c r="J74" s="26">
        <f t="shared" si="22"/>
        <v>0</v>
      </c>
      <c r="K74" s="26">
        <f t="shared" si="22"/>
        <v>0</v>
      </c>
      <c r="L74" s="26">
        <f t="shared" si="22"/>
        <v>0</v>
      </c>
      <c r="M74" s="26">
        <f t="shared" si="22"/>
        <v>0</v>
      </c>
      <c r="N74" s="26">
        <f t="shared" si="22"/>
        <v>0</v>
      </c>
      <c r="O74" s="26">
        <f t="shared" si="22"/>
        <v>0</v>
      </c>
      <c r="P74" s="26">
        <f t="shared" si="22"/>
        <v>0</v>
      </c>
      <c r="Q74" s="26">
        <f t="shared" si="22"/>
        <v>0</v>
      </c>
      <c r="R74" s="26">
        <f t="shared" si="22"/>
        <v>0</v>
      </c>
      <c r="S74" s="26">
        <f t="shared" si="22"/>
        <v>0</v>
      </c>
      <c r="T74" s="26">
        <f t="shared" si="22"/>
        <v>0</v>
      </c>
    </row>
    <row r="75" spans="2:20" x14ac:dyDescent="0.25">
      <c r="C75" s="13" t="s">
        <v>282</v>
      </c>
      <c r="D75" s="19"/>
      <c r="E75" s="19" t="s">
        <v>199</v>
      </c>
      <c r="F75" s="15" t="s">
        <v>200</v>
      </c>
      <c r="G75" s="15" t="s">
        <v>201</v>
      </c>
      <c r="H75" s="26">
        <f t="shared" ref="H75:T75" si="23">H74*H47</f>
        <v>-2.9103094457463841</v>
      </c>
      <c r="I75" s="26">
        <f t="shared" si="23"/>
        <v>0</v>
      </c>
      <c r="J75" s="26">
        <f>J74*J47</f>
        <v>0</v>
      </c>
      <c r="K75" s="26">
        <f t="shared" si="23"/>
        <v>0</v>
      </c>
      <c r="L75" s="26">
        <f t="shared" si="23"/>
        <v>0</v>
      </c>
      <c r="M75" s="26">
        <f t="shared" si="23"/>
        <v>0</v>
      </c>
      <c r="N75" s="26">
        <f t="shared" si="23"/>
        <v>0</v>
      </c>
      <c r="O75" s="26">
        <f t="shared" si="23"/>
        <v>0</v>
      </c>
      <c r="P75" s="26">
        <f t="shared" si="23"/>
        <v>0</v>
      </c>
      <c r="Q75" s="26">
        <f t="shared" si="23"/>
        <v>0</v>
      </c>
      <c r="R75" s="26">
        <f t="shared" si="23"/>
        <v>0</v>
      </c>
      <c r="S75" s="26">
        <f t="shared" si="23"/>
        <v>0</v>
      </c>
      <c r="T75" s="26">
        <f t="shared" si="23"/>
        <v>0</v>
      </c>
    </row>
    <row r="76" spans="2:20" x14ac:dyDescent="0.25">
      <c r="B76" s="72" t="s">
        <v>187</v>
      </c>
      <c r="C76" s="16" t="s">
        <v>65</v>
      </c>
      <c r="D76" s="168" t="str">
        <f>'CCC Summary'!$C$43</f>
        <v>Blend in bio-methane when cheaper than RUs</v>
      </c>
      <c r="E76" s="78" t="s">
        <v>202</v>
      </c>
      <c r="F76" s="79"/>
      <c r="G76" s="79" t="s">
        <v>131</v>
      </c>
      <c r="H76" s="106">
        <f>H23*Data!$E$8*1000</f>
        <v>543.24217658781072</v>
      </c>
      <c r="I76" s="106">
        <f>I23*Data!$E$8*1000</f>
        <v>500.95984461569799</v>
      </c>
      <c r="J76" s="106">
        <f>J23*Data!$E$8*1000</f>
        <v>458.67751264358537</v>
      </c>
      <c r="K76" s="106">
        <f>K23*Data!$E$8*1000</f>
        <v>458.46939569230477</v>
      </c>
      <c r="L76" s="106">
        <f>L23*Data!$E$8*1000</f>
        <v>458.261278741024</v>
      </c>
      <c r="M76" s="106">
        <f>M23*Data!$E$8*1000</f>
        <v>458.05316178974346</v>
      </c>
      <c r="N76" s="106">
        <f>N23*Data!$E$8*1000</f>
        <v>457.84504483846268</v>
      </c>
      <c r="O76" s="106">
        <f>O23*Data!$E$8*1000</f>
        <v>457.63692788718186</v>
      </c>
      <c r="P76" s="106">
        <f>P23*Data!$E$8*1000</f>
        <v>456.64523369706683</v>
      </c>
      <c r="Q76" s="106">
        <f>Q23*Data!$E$8*1000</f>
        <v>455.65353950695152</v>
      </c>
      <c r="R76" s="106">
        <f>R23*Data!$E$8*1000</f>
        <v>454.66184531683621</v>
      </c>
      <c r="S76" s="106">
        <f>S23*Data!$E$8*1000</f>
        <v>453.67015112672084</v>
      </c>
      <c r="T76" s="106">
        <f>T23*Data!$E$8*1000</f>
        <v>452.67845693660587</v>
      </c>
    </row>
    <row r="77" spans="2:20" x14ac:dyDescent="0.25">
      <c r="C77" s="16" t="s">
        <v>67</v>
      </c>
      <c r="D77" s="78"/>
      <c r="E77" s="78" t="s">
        <v>203</v>
      </c>
      <c r="F77" s="79"/>
      <c r="G77" s="79" t="s">
        <v>131</v>
      </c>
      <c r="H77" s="106">
        <f t="shared" ref="H77:T77" si="24">IF($D76="LNG only and always pay RU",H24,H72)</f>
        <v>0</v>
      </c>
      <c r="I77" s="106">
        <f t="shared" si="24"/>
        <v>0</v>
      </c>
      <c r="J77" s="106">
        <f t="shared" si="24"/>
        <v>0</v>
      </c>
      <c r="K77" s="106">
        <f t="shared" si="24"/>
        <v>0</v>
      </c>
      <c r="L77" s="106">
        <f t="shared" si="24"/>
        <v>0</v>
      </c>
      <c r="M77" s="106">
        <f t="shared" si="24"/>
        <v>55.734027720000043</v>
      </c>
      <c r="N77" s="106">
        <f t="shared" si="24"/>
        <v>118.44506292</v>
      </c>
      <c r="O77" s="106">
        <f t="shared" si="24"/>
        <v>181.15609812001622</v>
      </c>
      <c r="P77" s="106">
        <f t="shared" si="24"/>
        <v>280.9236541200064</v>
      </c>
      <c r="Q77" s="106">
        <f t="shared" si="24"/>
        <v>380.69121011999675</v>
      </c>
      <c r="R77" s="106">
        <f t="shared" si="24"/>
        <v>480.45876612002758</v>
      </c>
      <c r="S77" s="106">
        <f t="shared" si="24"/>
        <v>580.22632212001781</v>
      </c>
      <c r="T77" s="106">
        <f t="shared" si="24"/>
        <v>679.99387812000816</v>
      </c>
    </row>
    <row r="78" spans="2:20" x14ac:dyDescent="0.25">
      <c r="C78" s="16" t="s">
        <v>294</v>
      </c>
      <c r="D78" s="78"/>
      <c r="E78" s="78" t="s">
        <v>203</v>
      </c>
      <c r="F78" s="79"/>
      <c r="G78" s="79" t="s">
        <v>131</v>
      </c>
      <c r="H78" s="106">
        <f t="shared" ref="H78:T78" si="25">IF($D76="LNG only and always pay RU",H25,H73)</f>
        <v>0</v>
      </c>
      <c r="I78" s="106">
        <f t="shared" si="25"/>
        <v>6.4153974000000193</v>
      </c>
      <c r="J78" s="106">
        <f t="shared" si="25"/>
        <v>13.916717399999962</v>
      </c>
      <c r="K78" s="106">
        <f t="shared" si="25"/>
        <v>30.4196214</v>
      </c>
      <c r="L78" s="106">
        <f t="shared" si="25"/>
        <v>46.922525399999984</v>
      </c>
      <c r="M78" s="106">
        <f t="shared" si="25"/>
        <v>48.758579999999959</v>
      </c>
      <c r="N78" s="106">
        <f t="shared" si="25"/>
        <v>48.758580000000016</v>
      </c>
      <c r="O78" s="106">
        <f t="shared" si="25"/>
        <v>48.758579999999988</v>
      </c>
      <c r="P78" s="106">
        <f t="shared" si="25"/>
        <v>48.758580000000016</v>
      </c>
      <c r="Q78" s="106">
        <f t="shared" si="25"/>
        <v>48.758579999999988</v>
      </c>
      <c r="R78" s="106">
        <f t="shared" si="25"/>
        <v>48.758579999999988</v>
      </c>
      <c r="S78" s="106">
        <f t="shared" si="25"/>
        <v>48.758580000000009</v>
      </c>
      <c r="T78" s="106">
        <f t="shared" si="25"/>
        <v>48.758580000000009</v>
      </c>
    </row>
    <row r="79" spans="2:20" ht="15.75" thickBot="1" x14ac:dyDescent="0.3">
      <c r="C79" s="80" t="s">
        <v>296</v>
      </c>
      <c r="D79" s="81"/>
      <c r="E79" s="81"/>
      <c r="F79" s="82"/>
      <c r="G79" s="82" t="s">
        <v>131</v>
      </c>
      <c r="H79" s="107">
        <f>H75</f>
        <v>-2.9103094457463841</v>
      </c>
      <c r="I79" s="107">
        <f t="shared" ref="I79:T79" si="26">I75</f>
        <v>0</v>
      </c>
      <c r="J79" s="107">
        <f t="shared" si="26"/>
        <v>0</v>
      </c>
      <c r="K79" s="107">
        <f t="shared" si="26"/>
        <v>0</v>
      </c>
      <c r="L79" s="107">
        <f t="shared" si="26"/>
        <v>0</v>
      </c>
      <c r="M79" s="107">
        <f t="shared" si="26"/>
        <v>0</v>
      </c>
      <c r="N79" s="107">
        <f t="shared" si="26"/>
        <v>0</v>
      </c>
      <c r="O79" s="107">
        <f t="shared" si="26"/>
        <v>0</v>
      </c>
      <c r="P79" s="107">
        <f t="shared" si="26"/>
        <v>0</v>
      </c>
      <c r="Q79" s="107">
        <f t="shared" si="26"/>
        <v>0</v>
      </c>
      <c r="R79" s="107">
        <f t="shared" si="26"/>
        <v>0</v>
      </c>
      <c r="S79" s="107">
        <f t="shared" si="26"/>
        <v>0</v>
      </c>
      <c r="T79" s="107">
        <f t="shared" si="26"/>
        <v>0</v>
      </c>
    </row>
    <row r="80" spans="2:20" ht="15.75" thickTop="1" x14ac:dyDescent="0.25">
      <c r="C80" s="83" t="s">
        <v>78</v>
      </c>
      <c r="D80" s="78"/>
      <c r="E80" s="19"/>
      <c r="F80" s="15" t="s">
        <v>204</v>
      </c>
      <c r="G80" s="79" t="s">
        <v>131</v>
      </c>
      <c r="H80" s="106">
        <f>SUM(H76:H79)</f>
        <v>540.33186714206431</v>
      </c>
      <c r="I80" s="106">
        <f t="shared" ref="I80:T80" si="27">SUM(I76:I79)</f>
        <v>507.37524201569801</v>
      </c>
      <c r="J80" s="106">
        <f t="shared" si="27"/>
        <v>472.59423004358536</v>
      </c>
      <c r="K80" s="106">
        <f t="shared" si="27"/>
        <v>488.88901709230475</v>
      </c>
      <c r="L80" s="106">
        <f t="shared" si="27"/>
        <v>505.18380414102398</v>
      </c>
      <c r="M80" s="106">
        <f t="shared" si="27"/>
        <v>562.54576950974342</v>
      </c>
      <c r="N80" s="106">
        <f t="shared" si="27"/>
        <v>625.04868775846273</v>
      </c>
      <c r="O80" s="106">
        <f t="shared" si="27"/>
        <v>687.55160600719796</v>
      </c>
      <c r="P80" s="106">
        <f t="shared" si="27"/>
        <v>786.32746781707328</v>
      </c>
      <c r="Q80" s="106">
        <f t="shared" si="27"/>
        <v>885.10332962694815</v>
      </c>
      <c r="R80" s="106">
        <f t="shared" si="27"/>
        <v>983.87919143686372</v>
      </c>
      <c r="S80" s="106">
        <f t="shared" si="27"/>
        <v>1082.6550532467386</v>
      </c>
      <c r="T80" s="106">
        <f t="shared" si="27"/>
        <v>1181.4309150566139</v>
      </c>
    </row>
    <row r="82" spans="2:20" x14ac:dyDescent="0.25">
      <c r="B82" s="77"/>
      <c r="C82" s="13"/>
      <c r="D82" s="19"/>
      <c r="E82" s="19"/>
      <c r="F82" s="15"/>
      <c r="G82" s="15"/>
      <c r="H82" s="26"/>
      <c r="I82" s="26"/>
      <c r="J82" s="26"/>
      <c r="K82" s="26"/>
      <c r="L82" s="26"/>
      <c r="M82" s="26"/>
      <c r="N82" s="26"/>
      <c r="O82" s="26"/>
      <c r="P82" s="26"/>
      <c r="Q82" s="26"/>
      <c r="R82" s="26"/>
      <c r="S82" s="26"/>
      <c r="T82" s="26"/>
    </row>
    <row r="83" spans="2:20" ht="15.6" customHeight="1" x14ac:dyDescent="0.25">
      <c r="C83" s="16" t="s">
        <v>60</v>
      </c>
      <c r="D83" s="19"/>
      <c r="E83" s="19"/>
      <c r="F83" s="15"/>
      <c r="G83" s="15"/>
    </row>
    <row r="84" spans="2:20" ht="15.6" customHeight="1" x14ac:dyDescent="0.25">
      <c r="C84" s="35" t="s">
        <v>97</v>
      </c>
      <c r="D84" s="69" t="s">
        <v>98</v>
      </c>
      <c r="E84" s="69" t="s">
        <v>71</v>
      </c>
      <c r="F84" s="69" t="s">
        <v>85</v>
      </c>
      <c r="G84" s="28" t="s">
        <v>86</v>
      </c>
      <c r="H84" s="101">
        <v>2028</v>
      </c>
      <c r="I84" s="101">
        <v>2029</v>
      </c>
      <c r="J84" s="101">
        <v>2030</v>
      </c>
      <c r="K84" s="101">
        <v>2031</v>
      </c>
      <c r="L84" s="101">
        <v>2032</v>
      </c>
      <c r="M84" s="101">
        <v>2033</v>
      </c>
      <c r="N84" s="101">
        <v>2034</v>
      </c>
      <c r="O84" s="101">
        <v>2035</v>
      </c>
      <c r="P84" s="100">
        <v>2036</v>
      </c>
      <c r="Q84" s="100">
        <v>2037</v>
      </c>
      <c r="R84" s="101">
        <v>2038</v>
      </c>
      <c r="S84" s="101">
        <v>2039</v>
      </c>
      <c r="T84" s="101">
        <v>2040</v>
      </c>
    </row>
    <row r="85" spans="2:20" ht="15.6" customHeight="1" x14ac:dyDescent="0.25">
      <c r="C85" s="13" t="s">
        <v>205</v>
      </c>
      <c r="D85" s="19"/>
      <c r="E85" s="19" t="s">
        <v>206</v>
      </c>
      <c r="F85" s="15" t="s">
        <v>207</v>
      </c>
      <c r="G85" s="15" t="s">
        <v>112</v>
      </c>
      <c r="H85" s="26">
        <f>H$39-H$15</f>
        <v>34.914633317214104</v>
      </c>
      <c r="I85" s="26">
        <f t="shared" ref="I85:T85" si="28">I$39-I$15</f>
        <v>32.364440734821052</v>
      </c>
      <c r="J85" s="26">
        <f t="shared" si="28"/>
        <v>29.767586559821623</v>
      </c>
      <c r="K85" s="26">
        <f>K$39-K$15</f>
        <v>28.988254050138714</v>
      </c>
      <c r="L85" s="26">
        <f t="shared" si="28"/>
        <v>28.135758221061238</v>
      </c>
      <c r="M85" s="26">
        <f t="shared" si="28"/>
        <v>27.210547929335291</v>
      </c>
      <c r="N85" s="26">
        <f t="shared" si="28"/>
        <v>26.213072031706943</v>
      </c>
      <c r="O85" s="26">
        <f t="shared" si="28"/>
        <v>25.14377938492364</v>
      </c>
      <c r="P85" s="26">
        <f t="shared" si="28"/>
        <v>24.276755485203509</v>
      </c>
      <c r="Q85" s="26">
        <f t="shared" si="28"/>
        <v>23.360077928092004</v>
      </c>
      <c r="R85" s="26">
        <f t="shared" si="28"/>
        <v>22.393918848594083</v>
      </c>
      <c r="S85" s="26">
        <f t="shared" si="28"/>
        <v>21.378450381712312</v>
      </c>
      <c r="T85" s="26">
        <f t="shared" si="28"/>
        <v>20.313844662451032</v>
      </c>
    </row>
    <row r="86" spans="2:20" ht="15.6" customHeight="1" x14ac:dyDescent="0.25">
      <c r="C86" s="13" t="s">
        <v>216</v>
      </c>
      <c r="D86" s="19"/>
      <c r="E86" s="19"/>
      <c r="F86" s="15"/>
      <c r="G86" s="15" t="s">
        <v>112</v>
      </c>
      <c r="H86" s="26">
        <f>H6*(Data!$D$7-Calculations!H34)/1000</f>
        <v>0</v>
      </c>
      <c r="I86" s="26">
        <f>I6*(Data!$D$7-Calculations!I34)/1000</f>
        <v>0</v>
      </c>
      <c r="J86" s="26">
        <f>J6*(Data!$D$7-Calculations!J34)/1000</f>
        <v>13.0025</v>
      </c>
      <c r="K86" s="26">
        <f>K6*(Data!$D$7-Calculations!K34)/1000</f>
        <v>11.145</v>
      </c>
      <c r="L86" s="26">
        <f>L6*(Data!$D$7-Calculations!L34)/1000</f>
        <v>9.2874999999999996</v>
      </c>
      <c r="M86" s="26">
        <f>M6*(Data!$D$7-Calculations!M34)/1000</f>
        <v>7.43</v>
      </c>
      <c r="N86" s="26">
        <f>N6*(Data!$D$7-Calculations!N34)/1000</f>
        <v>5.5724999999999998</v>
      </c>
      <c r="O86" s="26">
        <f>O6*(Data!$D$7-Calculations!O34)/1000</f>
        <v>3.9649999999999999</v>
      </c>
      <c r="P86" s="26">
        <f>P6*(Data!$D$7-Calculations!P34)/1000</f>
        <v>3.37025</v>
      </c>
      <c r="Q86" s="26">
        <f>Q6*(Data!$D$7-Calculations!Q34)/1000</f>
        <v>2.7755000000000001</v>
      </c>
      <c r="R86" s="26">
        <f>R6*(Data!$D$7-Calculations!R34)/1000</f>
        <v>2.1807500000000002</v>
      </c>
      <c r="S86" s="26">
        <f>S6*(Data!$D$7-Calculations!S34)/1000</f>
        <v>1.5860000000000001</v>
      </c>
      <c r="T86" s="26">
        <f>T6*(Data!$D$7-Calculations!T34)/1000</f>
        <v>0.99124999999999996</v>
      </c>
    </row>
    <row r="87" spans="2:20" ht="15.6" customHeight="1" x14ac:dyDescent="0.25">
      <c r="C87" s="13" t="s">
        <v>208</v>
      </c>
      <c r="D87" s="19"/>
      <c r="E87" s="19"/>
      <c r="F87" s="15" t="s">
        <v>209</v>
      </c>
      <c r="G87" s="15" t="s">
        <v>172</v>
      </c>
      <c r="H87" s="26">
        <f>H$12-H$35</f>
        <v>7.6628109999999999E-2</v>
      </c>
      <c r="I87" s="26">
        <f t="shared" ref="I87:T87" si="29">I$12-I$35</f>
        <v>7.6628109999999999E-2</v>
      </c>
      <c r="J87" s="26">
        <f>J$12-J$35</f>
        <v>7.6628109999999999E-2</v>
      </c>
      <c r="K87" s="26">
        <f>K$12-K$35</f>
        <v>7.6628109999999999E-2</v>
      </c>
      <c r="L87" s="26">
        <f t="shared" si="29"/>
        <v>7.6628109999999999E-2</v>
      </c>
      <c r="M87" s="26">
        <f t="shared" si="29"/>
        <v>7.6628109999999999E-2</v>
      </c>
      <c r="N87" s="26">
        <f t="shared" si="29"/>
        <v>7.6628109999999999E-2</v>
      </c>
      <c r="O87" s="26">
        <f t="shared" si="29"/>
        <v>8.1628110000000004E-2</v>
      </c>
      <c r="P87" s="26">
        <f t="shared" si="29"/>
        <v>8.1628110000000004E-2</v>
      </c>
      <c r="Q87" s="26">
        <f t="shared" si="29"/>
        <v>8.1628110000000004E-2</v>
      </c>
      <c r="R87" s="26">
        <f t="shared" si="29"/>
        <v>8.1628110000000004E-2</v>
      </c>
      <c r="S87" s="26">
        <f t="shared" si="29"/>
        <v>8.1628110000000004E-2</v>
      </c>
      <c r="T87" s="26">
        <f t="shared" si="29"/>
        <v>8.1628110000000004E-2</v>
      </c>
    </row>
    <row r="88" spans="2:20" ht="15.6" customHeight="1" x14ac:dyDescent="0.25">
      <c r="B88" s="77" t="s">
        <v>173</v>
      </c>
      <c r="C88" s="13" t="s">
        <v>210</v>
      </c>
      <c r="D88" s="19"/>
      <c r="E88" s="19" t="s">
        <v>175</v>
      </c>
      <c r="F88" s="15" t="s">
        <v>176</v>
      </c>
      <c r="G88" s="15" t="s">
        <v>157</v>
      </c>
      <c r="H88" s="26">
        <f>(H85-H86)/H87</f>
        <v>455.63740665421744</v>
      </c>
      <c r="I88" s="26">
        <f t="shared" ref="I88:T88" si="30">(I85-I86)/I87</f>
        <v>422.35728813905303</v>
      </c>
      <c r="J88" s="26">
        <f>(J85-J86)/J87</f>
        <v>218.78507195103239</v>
      </c>
      <c r="K88" s="26">
        <f>(K85-K86)/K87</f>
        <v>232.85520222459766</v>
      </c>
      <c r="L88" s="26">
        <f t="shared" si="30"/>
        <v>245.9705481586488</v>
      </c>
      <c r="M88" s="26">
        <f t="shared" si="30"/>
        <v>258.13696735225875</v>
      </c>
      <c r="N88" s="26">
        <f t="shared" si="30"/>
        <v>269.36031740450005</v>
      </c>
      <c r="O88" s="26">
        <f t="shared" si="30"/>
        <v>259.45448675613875</v>
      </c>
      <c r="P88" s="26">
        <f t="shared" si="30"/>
        <v>256.11894585337711</v>
      </c>
      <c r="Q88" s="26">
        <f t="shared" si="30"/>
        <v>252.17511379464747</v>
      </c>
      <c r="R88" s="26">
        <f t="shared" si="30"/>
        <v>247.62509935111916</v>
      </c>
      <c r="S88" s="26">
        <f t="shared" si="30"/>
        <v>242.47101129393187</v>
      </c>
      <c r="T88" s="26">
        <f t="shared" si="30"/>
        <v>236.71495839424716</v>
      </c>
    </row>
    <row r="89" spans="2:20" ht="15" customHeight="1" x14ac:dyDescent="0.25">
      <c r="C89" s="13" t="s">
        <v>177</v>
      </c>
      <c r="D89" s="19"/>
      <c r="E89" s="19" t="s">
        <v>178</v>
      </c>
      <c r="F89" s="15" t="s">
        <v>179</v>
      </c>
      <c r="G89" s="15" t="s">
        <v>163</v>
      </c>
      <c r="H89" s="26">
        <f>MIN(H88,Data!E$15)</f>
        <v>380</v>
      </c>
      <c r="I89" s="26">
        <f>MIN(I88,Data!F$15)</f>
        <v>380</v>
      </c>
      <c r="J89" s="26">
        <f>MIN(J88,Data!G$15)</f>
        <v>218.78507195103239</v>
      </c>
      <c r="K89" s="26">
        <f>MIN(K88,Data!H$15)</f>
        <v>232.85520222459766</v>
      </c>
      <c r="L89" s="26">
        <f>MIN(L88,Data!I$15)</f>
        <v>245.9705481586488</v>
      </c>
      <c r="M89" s="26">
        <f>MIN(M88,Data!J$15)</f>
        <v>258.13696735225875</v>
      </c>
      <c r="N89" s="26">
        <f>MIN(N88,Data!K$15)</f>
        <v>269.36031740450005</v>
      </c>
      <c r="O89" s="26">
        <f>MIN(O88,Data!L$15)</f>
        <v>259.45448675613875</v>
      </c>
      <c r="P89" s="26">
        <f>MIN(P88,Data!M$15)</f>
        <v>256.11894585337711</v>
      </c>
      <c r="Q89" s="26">
        <f>MIN(Q88,Data!N$15)</f>
        <v>252.17511379464747</v>
      </c>
      <c r="R89" s="26">
        <f>MIN(R88,Data!O$15)</f>
        <v>247.62509935111916</v>
      </c>
      <c r="S89" s="26">
        <f>MIN(S88,Data!P$15)</f>
        <v>242.47101129393187</v>
      </c>
      <c r="T89" s="26">
        <f>MIN(T88,Data!Q$15)</f>
        <v>236.71495839424716</v>
      </c>
    </row>
    <row r="90" spans="2:20" ht="15.6" customHeight="1" x14ac:dyDescent="0.25">
      <c r="C90" s="13" t="s">
        <v>180</v>
      </c>
      <c r="D90" s="19"/>
      <c r="E90" s="19" t="s">
        <v>181</v>
      </c>
      <c r="F90" s="15" t="s">
        <v>179</v>
      </c>
      <c r="G90" s="15"/>
      <c r="H90" s="26" t="str">
        <f>IF(H89=Data!E$15,Data!$B$15,$C88)</f>
        <v>Tier 2 Remedial Unit Cost</v>
      </c>
      <c r="I90" s="26" t="str">
        <f>IF(I89=Data!F$15,Data!$B$15,$C88)</f>
        <v>Tier 2 Remedial Unit Cost</v>
      </c>
      <c r="J90" s="26" t="str">
        <f>IF(J89=Data!G$15,Data!$B$15,$C88)</f>
        <v>ZNZ blend abatement cost</v>
      </c>
      <c r="K90" s="26" t="str">
        <f>IF(K89=Data!H$15,Data!$B$15,$C88)</f>
        <v>ZNZ blend abatement cost</v>
      </c>
      <c r="L90" s="26" t="str">
        <f>IF(L89=Data!I$15,Data!$B$15,$C88)</f>
        <v>ZNZ blend abatement cost</v>
      </c>
      <c r="M90" s="26" t="str">
        <f>IF(M89=Data!J$15,Data!$B$15,$C88)</f>
        <v>ZNZ blend abatement cost</v>
      </c>
      <c r="N90" s="26" t="str">
        <f>IF(N89=Data!K$15,Data!$B$15,$C88)</f>
        <v>ZNZ blend abatement cost</v>
      </c>
      <c r="O90" s="26" t="str">
        <f>IF(O89=Data!L$15,Data!$B$15,$C88)</f>
        <v>ZNZ blend abatement cost</v>
      </c>
      <c r="P90" s="26" t="str">
        <f>IF(P89=Data!M$15,Data!$B$15,$C88)</f>
        <v>ZNZ blend abatement cost</v>
      </c>
      <c r="Q90" s="26" t="str">
        <f>IF(Q89=Data!N$15,Data!$B$15,$C88)</f>
        <v>ZNZ blend abatement cost</v>
      </c>
      <c r="R90" s="26" t="str">
        <f>IF(R89=Data!O$15,Data!$B$15,$C88)</f>
        <v>ZNZ blend abatement cost</v>
      </c>
      <c r="S90" s="26" t="str">
        <f>IF(S89=Data!P$15,Data!$B$15,$C88)</f>
        <v>ZNZ blend abatement cost</v>
      </c>
      <c r="T90" s="26" t="str">
        <f>IF(T89=Data!Q$15,Data!$B$15,$C88)</f>
        <v>ZNZ blend abatement cost</v>
      </c>
    </row>
    <row r="91" spans="2:20" x14ac:dyDescent="0.25">
      <c r="C91" s="13" t="s">
        <v>182</v>
      </c>
      <c r="D91" s="19"/>
      <c r="E91" s="19" t="s">
        <v>183</v>
      </c>
      <c r="F91" s="15" t="s">
        <v>211</v>
      </c>
      <c r="G91" s="15" t="s">
        <v>131</v>
      </c>
      <c r="H91" s="26">
        <f>IF(H90=Data!$B$15,H$16,(H$39-H$15)/H87*H13)</f>
        <v>92.574240360000132</v>
      </c>
      <c r="I91" s="26">
        <f>IF(I90=Data!$B$15,I$16,(I$39-I$15)/I87*I13)</f>
        <v>121.07925636000013</v>
      </c>
      <c r="J91" s="26">
        <f>IF(J90=Data!$B$15,J$16,(J$39-J$15)/J87*J13)</f>
        <v>152.91773185502637</v>
      </c>
      <c r="K91" s="26">
        <f>IF(K90=Data!$B$15,K$16,(K$39-K$15)/K87*K13)</f>
        <v>211.3443991548277</v>
      </c>
      <c r="L91" s="26">
        <f>IF(L90=Data!$B$15,L$16,(L$39-L$15)/L87*L13)</f>
        <v>265.7232914009748</v>
      </c>
      <c r="M91" s="26">
        <f>IF(M90=Data!$B$15,M$16,(M$39-M$15)/M87*M13)</f>
        <v>315.58691298828052</v>
      </c>
      <c r="N91" s="26">
        <f>IF(N90=Data!$B$15,N$16,(N$39-N$15)/N87*N13)</f>
        <v>360.47163500736468</v>
      </c>
      <c r="O91" s="26">
        <f>IF(O90=Data!$B$15,O$16,(O$39-O$15)/O87*O13)</f>
        <v>375.4213731293857</v>
      </c>
      <c r="P91" s="26">
        <f>IF(P90=Data!$B$15,P$16,(P$39-P$15)/P87*P13)</f>
        <v>440.55887977019916</v>
      </c>
      <c r="Q91" s="26">
        <f>IF(Q90=Data!$B$15,Q$16,(Q$39-Q$15)/Q87*Q13)</f>
        <v>499.05826014094617</v>
      </c>
      <c r="R91" s="26">
        <f>IF(R90=Data!$B$15,R$16,(R$39-R$15)/R87*R13)</f>
        <v>550.44463174179089</v>
      </c>
      <c r="S91" s="26">
        <f>IF(S90=Data!$B$15,S$16,(S$39-S$15)/S87*S13)</f>
        <v>594.24532667216931</v>
      </c>
      <c r="T91" s="26">
        <f>IF(T90=Data!$B$15,T$16,(T$39-T$15)/T87*T13)</f>
        <v>629.98989163106182</v>
      </c>
    </row>
    <row r="92" spans="2:20" x14ac:dyDescent="0.25">
      <c r="C92" s="13" t="s">
        <v>267</v>
      </c>
      <c r="D92" s="19"/>
      <c r="E92" s="15" t="s">
        <v>268</v>
      </c>
      <c r="F92" s="15" t="s">
        <v>269</v>
      </c>
      <c r="G92" s="15" t="s">
        <v>243</v>
      </c>
      <c r="H92" s="161">
        <f t="shared" ref="H92:T92" si="31">IF(H90=$C$88,MIN(((H11-H4)/1000)/H87,1),0)</f>
        <v>0</v>
      </c>
      <c r="I92" s="161">
        <f t="shared" si="31"/>
        <v>0</v>
      </c>
      <c r="J92" s="161">
        <f>IF(J90=$C$88,MIN(((J11-J4)/1000)/J87,1),0)</f>
        <v>0.12778743988335362</v>
      </c>
      <c r="K92" s="161">
        <f t="shared" si="31"/>
        <v>0.18136046941520553</v>
      </c>
      <c r="L92" s="161">
        <f t="shared" si="31"/>
        <v>0.23493349894705765</v>
      </c>
      <c r="M92" s="161">
        <f t="shared" si="31"/>
        <v>0.28850652847890956</v>
      </c>
      <c r="N92" s="161">
        <f t="shared" si="31"/>
        <v>0.34207955801076145</v>
      </c>
      <c r="O92" s="161">
        <f t="shared" si="31"/>
        <v>0.37141751781342319</v>
      </c>
      <c r="P92" s="161">
        <f t="shared" si="31"/>
        <v>0.45142672052556926</v>
      </c>
      <c r="Q92" s="161">
        <f t="shared" si="31"/>
        <v>0.53143592323771549</v>
      </c>
      <c r="R92" s="161">
        <f t="shared" si="31"/>
        <v>0.61144512594989409</v>
      </c>
      <c r="S92" s="161">
        <f t="shared" si="31"/>
        <v>0.69145432866204015</v>
      </c>
      <c r="T92" s="161">
        <f t="shared" si="31"/>
        <v>0.77146353137418633</v>
      </c>
    </row>
    <row r="93" spans="2:20" x14ac:dyDescent="0.25">
      <c r="B93" s="77" t="s">
        <v>185</v>
      </c>
      <c r="C93" s="13" t="s">
        <v>186</v>
      </c>
      <c r="D93" s="19"/>
      <c r="E93" s="19" t="s">
        <v>183</v>
      </c>
      <c r="F93" s="15" t="s">
        <v>179</v>
      </c>
      <c r="G93" s="15" t="s">
        <v>131</v>
      </c>
      <c r="H93" s="26">
        <f>H$17</f>
        <v>48.758580000000016</v>
      </c>
      <c r="I93" s="26">
        <f t="shared" ref="I93:T93" si="32">I$17</f>
        <v>48.758580000000016</v>
      </c>
      <c r="J93" s="26">
        <f>J$17</f>
        <v>48.758579999999959</v>
      </c>
      <c r="K93" s="26">
        <f t="shared" si="32"/>
        <v>48.758580000000016</v>
      </c>
      <c r="L93" s="26">
        <f t="shared" si="32"/>
        <v>48.758579999999959</v>
      </c>
      <c r="M93" s="26">
        <f t="shared" si="32"/>
        <v>48.758579999999959</v>
      </c>
      <c r="N93" s="26">
        <f t="shared" si="32"/>
        <v>48.758580000000016</v>
      </c>
      <c r="O93" s="26">
        <f t="shared" si="32"/>
        <v>48.758579999999988</v>
      </c>
      <c r="P93" s="26">
        <f t="shared" si="32"/>
        <v>48.758580000000016</v>
      </c>
      <c r="Q93" s="26">
        <f t="shared" si="32"/>
        <v>48.758579999999988</v>
      </c>
      <c r="R93" s="26">
        <f t="shared" si="32"/>
        <v>48.758579999999988</v>
      </c>
      <c r="S93" s="26">
        <f t="shared" si="32"/>
        <v>48.758580000000009</v>
      </c>
      <c r="T93" s="26">
        <f t="shared" si="32"/>
        <v>48.758580000000009</v>
      </c>
    </row>
    <row r="94" spans="2:20" x14ac:dyDescent="0.25">
      <c r="C94" s="13" t="s">
        <v>212</v>
      </c>
      <c r="D94" s="19"/>
      <c r="E94" s="19"/>
      <c r="F94" s="15"/>
      <c r="G94" s="15"/>
      <c r="H94" s="26">
        <f>IF(H90=Data!$B$15,H11,H4)</f>
        <v>95.628110000000007</v>
      </c>
      <c r="I94" s="26">
        <f>IF(I90=Data!$B$15,I11,I4)</f>
        <v>95.628110000000007</v>
      </c>
      <c r="J94" s="26">
        <f>IF(J90=Data!$B$15,J11,J4)</f>
        <v>85.835999999999999</v>
      </c>
      <c r="K94" s="26">
        <f>IF(K90=Data!$B$15,K11,K4)</f>
        <v>81.730800000000002</v>
      </c>
      <c r="L94" s="26">
        <f>IF(L90=Data!$B$15,L11,L4)</f>
        <v>77.625599999999991</v>
      </c>
      <c r="M94" s="26">
        <f>IF(M90=Data!$B$15,M11,M4)</f>
        <v>73.520399999999995</v>
      </c>
      <c r="N94" s="26">
        <f>IF(N90=Data!$B$15,N11,N4)</f>
        <v>69.415199999999999</v>
      </c>
      <c r="O94" s="26">
        <f>IF(O90=Data!$B$15,O11,O4)</f>
        <v>65.309999999998936</v>
      </c>
      <c r="P94" s="26">
        <f>IF(P90=Data!$B$15,P11,P4)</f>
        <v>58.778999999999577</v>
      </c>
      <c r="Q94" s="26">
        <f>IF(Q90=Data!$B$15,Q11,Q4)</f>
        <v>52.248000000000211</v>
      </c>
      <c r="R94" s="26">
        <f>IF(R90=Data!$B$15,R11,R4)</f>
        <v>45.716999999998194</v>
      </c>
      <c r="S94" s="26">
        <f>IF(S90=Data!$B$15,S11,S4)</f>
        <v>39.185999999998835</v>
      </c>
      <c r="T94" s="26">
        <f>IF(T90=Data!$B$15,T11,T4)</f>
        <v>32.654999999999468</v>
      </c>
    </row>
    <row r="95" spans="2:20" x14ac:dyDescent="0.25">
      <c r="B95" s="72" t="s">
        <v>213</v>
      </c>
      <c r="C95" s="13" t="s">
        <v>214</v>
      </c>
      <c r="D95" s="19"/>
      <c r="E95" s="19"/>
      <c r="F95" s="15" t="s">
        <v>270</v>
      </c>
      <c r="G95" s="15" t="s">
        <v>90</v>
      </c>
      <c r="H95" s="26">
        <f>IF(H90=$C$88,(H34-Data!$D$7)*Data!$E$8*H92,0)</f>
        <v>0</v>
      </c>
      <c r="I95" s="26">
        <f>IF(I90=$C$88,(I34-Data!$D$7)*Data!$E$8*I92,0)</f>
        <v>0</v>
      </c>
      <c r="J95" s="26">
        <f>IF(J90=$C$88,(J34-Data!$D$7)*Data!$E$8*J92,0)</f>
        <v>-0.38168319268999357</v>
      </c>
      <c r="K95" s="26">
        <f>IF(K90=$C$88,(K34-Data!$D$7)*Data!$E$8*K92,0)</f>
        <v>-0.54169833167750081</v>
      </c>
      <c r="L95" s="26">
        <f>IF(L90=$C$88,(L34-Data!$D$7)*Data!$E$8*L92,0)</f>
        <v>-0.70171347066500867</v>
      </c>
      <c r="M95" s="26">
        <f>IF(M90=$C$88,(M34-Data!$D$7)*Data!$E$8*M92,0)</f>
        <v>-0.86172860965251585</v>
      </c>
      <c r="N95" s="26">
        <f>IF(N90=$C$88,(N34-Data!$D$7)*Data!$E$8*N92,0)</f>
        <v>-1.0217437486400229</v>
      </c>
      <c r="O95" s="26">
        <f>IF(O90=$C$88,(O34-Data!$D$7)*Data!$E$8*O92,0)</f>
        <v>-1.1840270483366993</v>
      </c>
      <c r="P95" s="26">
        <f>IF(P90=$C$88,(P34-Data!$D$7)*Data!$E$8*P92,0)</f>
        <v>-1.4390851852946411</v>
      </c>
      <c r="Q95" s="26">
        <f>IF(Q90=$C$88,(Q34-Data!$D$7)*Data!$E$8*Q92,0)</f>
        <v>-1.6941433222525835</v>
      </c>
      <c r="R95" s="26">
        <f>IF(R90=$C$88,(R34-Data!$D$7)*Data!$E$8*R92,0)</f>
        <v>-1.9492014592106293</v>
      </c>
      <c r="S95" s="26">
        <f>IF(S90=$C$88,(S34-Data!$D$7)*Data!$E$8*S92,0)</f>
        <v>-2.2042595961685709</v>
      </c>
      <c r="T95" s="26">
        <f>IF(T90=$C$88,(T34-Data!$D$7)*Data!$E$8*T92,0)</f>
        <v>-2.4593177331265133</v>
      </c>
    </row>
    <row r="96" spans="2:20" x14ac:dyDescent="0.25">
      <c r="C96" s="13" t="s">
        <v>216</v>
      </c>
      <c r="D96" s="19"/>
      <c r="E96" s="19" t="s">
        <v>217</v>
      </c>
      <c r="F96" s="15" t="s">
        <v>218</v>
      </c>
      <c r="G96" s="15" t="s">
        <v>131</v>
      </c>
      <c r="H96" s="26">
        <f>H95*H$6*H92</f>
        <v>0</v>
      </c>
      <c r="I96" s="26">
        <f t="shared" ref="I96:P96" si="33">I95*I$6</f>
        <v>0</v>
      </c>
      <c r="J96" s="26">
        <f>J95*J$6</f>
        <v>-66.794558720748867</v>
      </c>
      <c r="K96" s="26">
        <f t="shared" si="33"/>
        <v>-81.254749751625127</v>
      </c>
      <c r="L96" s="26">
        <f t="shared" si="33"/>
        <v>-87.714183833126086</v>
      </c>
      <c r="M96" s="26">
        <f t="shared" si="33"/>
        <v>-86.172860965251587</v>
      </c>
      <c r="N96" s="26">
        <f t="shared" si="33"/>
        <v>-76.630781148001716</v>
      </c>
      <c r="O96" s="26">
        <f>O95*O$6</f>
        <v>-59.201352416834965</v>
      </c>
      <c r="P96" s="26">
        <f t="shared" si="33"/>
        <v>-61.16112037502225</v>
      </c>
      <c r="Q96" s="26">
        <f>Q95*Q$6</f>
        <v>-59.295016278840421</v>
      </c>
      <c r="R96" s="26">
        <f>R95*R$6</f>
        <v>-53.603040128292307</v>
      </c>
      <c r="S96" s="26">
        <f t="shared" ref="S96:T96" si="34">S95*S$6</f>
        <v>-44.085191923371418</v>
      </c>
      <c r="T96" s="26">
        <f t="shared" si="34"/>
        <v>-30.741471664081416</v>
      </c>
    </row>
    <row r="97" spans="2:20" x14ac:dyDescent="0.25">
      <c r="B97" s="72" t="s">
        <v>187</v>
      </c>
      <c r="C97" s="16" t="s">
        <v>64</v>
      </c>
      <c r="D97" s="78"/>
      <c r="E97" s="78" t="s">
        <v>188</v>
      </c>
      <c r="F97" s="79"/>
      <c r="G97" s="79" t="s">
        <v>131</v>
      </c>
      <c r="H97" s="106">
        <f>H15*Data!$E$8*1000</f>
        <v>572.49873786407636</v>
      </c>
      <c r="I97" s="106">
        <f>I15*Data!$E$8*1000</f>
        <v>556.72121359222888</v>
      </c>
      <c r="J97" s="106">
        <f>J15*Data!$E$8*1000</f>
        <v>540.94368932038833</v>
      </c>
      <c r="K97" s="106">
        <f>K15*Data!$E$8*1000</f>
        <v>540.94368932038833</v>
      </c>
      <c r="L97" s="106">
        <f>L15*Data!$E$8*1000</f>
        <v>540.94368932038833</v>
      </c>
      <c r="M97" s="106">
        <f>M15*Data!$E$8*1000</f>
        <v>540.94368932038833</v>
      </c>
      <c r="N97" s="106">
        <f>N15*Data!$E$8*1000</f>
        <v>540.94368932038833</v>
      </c>
      <c r="O97" s="106">
        <f>O15*Data!$E$8*1000</f>
        <v>540.94368932038833</v>
      </c>
      <c r="P97" s="106">
        <f>P15*Data!$E$8*1000</f>
        <v>540.94368932038833</v>
      </c>
      <c r="Q97" s="106">
        <f>Q15*Data!$E$8*1000</f>
        <v>540.94368932038833</v>
      </c>
      <c r="R97" s="106">
        <f>R15*Data!$E$8*1000</f>
        <v>540.94368932038833</v>
      </c>
      <c r="S97" s="106">
        <f>S15*Data!$E$8*1000</f>
        <v>540.94368932038833</v>
      </c>
      <c r="T97" s="106">
        <f>T15*Data!$E$8*1000</f>
        <v>540.94368932038833</v>
      </c>
    </row>
    <row r="98" spans="2:20" x14ac:dyDescent="0.25">
      <c r="C98" s="16" t="s">
        <v>68</v>
      </c>
      <c r="D98" s="78"/>
      <c r="E98" s="78" t="s">
        <v>219</v>
      </c>
      <c r="F98" s="79"/>
      <c r="G98" s="79" t="s">
        <v>131</v>
      </c>
      <c r="H98" s="106">
        <f t="shared" ref="H98:T98" si="35">H91</f>
        <v>92.574240360000132</v>
      </c>
      <c r="I98" s="106">
        <f t="shared" si="35"/>
        <v>121.07925636000013</v>
      </c>
      <c r="J98" s="106">
        <f>J91</f>
        <v>152.91773185502637</v>
      </c>
      <c r="K98" s="106">
        <f t="shared" si="35"/>
        <v>211.3443991548277</v>
      </c>
      <c r="L98" s="106">
        <f t="shared" si="35"/>
        <v>265.7232914009748</v>
      </c>
      <c r="M98" s="106">
        <f t="shared" si="35"/>
        <v>315.58691298828052</v>
      </c>
      <c r="N98" s="106">
        <f t="shared" si="35"/>
        <v>360.47163500736468</v>
      </c>
      <c r="O98" s="106">
        <f t="shared" si="35"/>
        <v>375.4213731293857</v>
      </c>
      <c r="P98" s="106">
        <f t="shared" si="35"/>
        <v>440.55887977019916</v>
      </c>
      <c r="Q98" s="106">
        <f t="shared" si="35"/>
        <v>499.05826014094617</v>
      </c>
      <c r="R98" s="106">
        <f t="shared" si="35"/>
        <v>550.44463174179089</v>
      </c>
      <c r="S98" s="106">
        <f t="shared" si="35"/>
        <v>594.24532667216931</v>
      </c>
      <c r="T98" s="106">
        <f t="shared" si="35"/>
        <v>629.98989163106182</v>
      </c>
    </row>
    <row r="99" spans="2:20" x14ac:dyDescent="0.25">
      <c r="C99" s="16" t="s">
        <v>294</v>
      </c>
      <c r="D99" s="78"/>
      <c r="E99" s="78" t="s">
        <v>219</v>
      </c>
      <c r="F99" s="79"/>
      <c r="G99" s="79" t="s">
        <v>131</v>
      </c>
      <c r="H99" s="106">
        <f t="shared" ref="H99" si="36">H93</f>
        <v>48.758580000000016</v>
      </c>
      <c r="I99" s="106">
        <f t="shared" ref="I99:T99" si="37">I93</f>
        <v>48.758580000000016</v>
      </c>
      <c r="J99" s="106">
        <f>J93</f>
        <v>48.758579999999959</v>
      </c>
      <c r="K99" s="106">
        <f t="shared" si="37"/>
        <v>48.758580000000016</v>
      </c>
      <c r="L99" s="106">
        <f t="shared" si="37"/>
        <v>48.758579999999959</v>
      </c>
      <c r="M99" s="106">
        <f t="shared" si="37"/>
        <v>48.758579999999959</v>
      </c>
      <c r="N99" s="106">
        <f t="shared" si="37"/>
        <v>48.758580000000016</v>
      </c>
      <c r="O99" s="106">
        <f t="shared" si="37"/>
        <v>48.758579999999988</v>
      </c>
      <c r="P99" s="106">
        <f t="shared" si="37"/>
        <v>48.758580000000016</v>
      </c>
      <c r="Q99" s="106">
        <f t="shared" si="37"/>
        <v>48.758579999999988</v>
      </c>
      <c r="R99" s="106">
        <f t="shared" si="37"/>
        <v>48.758579999999988</v>
      </c>
      <c r="S99" s="106">
        <f t="shared" si="37"/>
        <v>48.758580000000009</v>
      </c>
      <c r="T99" s="106">
        <f t="shared" si="37"/>
        <v>48.758580000000009</v>
      </c>
    </row>
    <row r="100" spans="2:20" ht="15.75" thickBot="1" x14ac:dyDescent="0.3">
      <c r="C100" s="80" t="s">
        <v>216</v>
      </c>
      <c r="D100" s="81"/>
      <c r="E100" s="81"/>
      <c r="F100" s="82"/>
      <c r="G100" s="82" t="s">
        <v>131</v>
      </c>
      <c r="H100" s="107">
        <f>H96</f>
        <v>0</v>
      </c>
      <c r="I100" s="107">
        <f t="shared" ref="I100:T100" si="38">I96</f>
        <v>0</v>
      </c>
      <c r="J100" s="107">
        <f>J96</f>
        <v>-66.794558720748867</v>
      </c>
      <c r="K100" s="107">
        <f t="shared" si="38"/>
        <v>-81.254749751625127</v>
      </c>
      <c r="L100" s="107">
        <f t="shared" si="38"/>
        <v>-87.714183833126086</v>
      </c>
      <c r="M100" s="107">
        <f t="shared" si="38"/>
        <v>-86.172860965251587</v>
      </c>
      <c r="N100" s="107">
        <f t="shared" si="38"/>
        <v>-76.630781148001716</v>
      </c>
      <c r="O100" s="107">
        <f t="shared" si="38"/>
        <v>-59.201352416834965</v>
      </c>
      <c r="P100" s="107">
        <f t="shared" si="38"/>
        <v>-61.16112037502225</v>
      </c>
      <c r="Q100" s="107">
        <f t="shared" si="38"/>
        <v>-59.295016278840421</v>
      </c>
      <c r="R100" s="107">
        <f t="shared" si="38"/>
        <v>-53.603040128292307</v>
      </c>
      <c r="S100" s="107">
        <f t="shared" si="38"/>
        <v>-44.085191923371418</v>
      </c>
      <c r="T100" s="107">
        <f t="shared" si="38"/>
        <v>-30.741471664081416</v>
      </c>
    </row>
    <row r="101" spans="2:20" ht="15.75" thickTop="1" x14ac:dyDescent="0.25">
      <c r="C101" s="83" t="s">
        <v>79</v>
      </c>
      <c r="D101" s="78"/>
      <c r="E101" s="19"/>
      <c r="F101" s="15" t="s">
        <v>204</v>
      </c>
      <c r="G101" s="79" t="s">
        <v>131</v>
      </c>
      <c r="H101" s="106">
        <f>SUM(H97:H100)</f>
        <v>713.8315582240765</v>
      </c>
      <c r="I101" s="106">
        <f t="shared" ref="I101:T101" si="39">SUM(I97:I100)</f>
        <v>726.55904995222909</v>
      </c>
      <c r="J101" s="106">
        <f t="shared" si="39"/>
        <v>675.82544245466579</v>
      </c>
      <c r="K101" s="106">
        <f t="shared" si="39"/>
        <v>719.79191872359092</v>
      </c>
      <c r="L101" s="106">
        <f t="shared" si="39"/>
        <v>767.71137688823706</v>
      </c>
      <c r="M101" s="106">
        <f t="shared" si="39"/>
        <v>819.11632134341721</v>
      </c>
      <c r="N101" s="106">
        <f t="shared" si="39"/>
        <v>873.54312317975143</v>
      </c>
      <c r="O101" s="106">
        <f t="shared" si="39"/>
        <v>905.92229003293903</v>
      </c>
      <c r="P101" s="106">
        <f t="shared" si="39"/>
        <v>969.10002871556514</v>
      </c>
      <c r="Q101" s="106">
        <f t="shared" si="39"/>
        <v>1029.4655131824941</v>
      </c>
      <c r="R101" s="106">
        <f t="shared" si="39"/>
        <v>1086.5438609338869</v>
      </c>
      <c r="S101" s="106">
        <f t="shared" si="39"/>
        <v>1139.8624040691861</v>
      </c>
      <c r="T101" s="106">
        <f t="shared" si="39"/>
        <v>1188.9506892873685</v>
      </c>
    </row>
    <row r="102" spans="2:20" x14ac:dyDescent="0.25">
      <c r="C102" s="19"/>
      <c r="D102" s="15"/>
      <c r="E102" s="15"/>
      <c r="F102" s="17"/>
      <c r="I102" s="70"/>
      <c r="J102" s="70"/>
      <c r="K102" s="70"/>
      <c r="L102" s="70"/>
      <c r="M102" s="70"/>
      <c r="N102" s="70"/>
      <c r="O102" s="70"/>
      <c r="P102" s="70"/>
      <c r="Q102" s="70"/>
      <c r="R102" s="70"/>
      <c r="S102" s="70"/>
      <c r="T102" s="70"/>
    </row>
    <row r="103" spans="2:20" x14ac:dyDescent="0.25">
      <c r="I103" s="70"/>
      <c r="J103" s="70"/>
      <c r="K103" s="70"/>
      <c r="L103" s="70"/>
      <c r="M103" s="70"/>
      <c r="N103" s="70"/>
      <c r="O103" s="70"/>
      <c r="P103" s="70"/>
      <c r="Q103" s="70"/>
      <c r="R103" s="70"/>
      <c r="S103" s="70"/>
      <c r="T103" s="70"/>
    </row>
    <row r="104" spans="2:20" x14ac:dyDescent="0.25">
      <c r="C104" s="16" t="s">
        <v>61</v>
      </c>
      <c r="D104" s="19"/>
      <c r="E104" s="19"/>
      <c r="F104" s="15"/>
      <c r="G104" s="15"/>
    </row>
    <row r="105" spans="2:20" x14ac:dyDescent="0.25">
      <c r="C105" s="35" t="s">
        <v>97</v>
      </c>
      <c r="D105" s="69" t="s">
        <v>98</v>
      </c>
      <c r="E105" s="69" t="s">
        <v>71</v>
      </c>
      <c r="F105" s="69" t="s">
        <v>85</v>
      </c>
      <c r="G105" s="28" t="s">
        <v>86</v>
      </c>
      <c r="H105" s="101">
        <v>2028</v>
      </c>
      <c r="I105" s="101">
        <v>2029</v>
      </c>
      <c r="J105" s="101">
        <v>2030</v>
      </c>
      <c r="K105" s="101">
        <v>2031</v>
      </c>
      <c r="L105" s="101">
        <v>2032</v>
      </c>
      <c r="M105" s="101">
        <v>2033</v>
      </c>
      <c r="N105" s="101">
        <v>2034</v>
      </c>
      <c r="O105" s="101">
        <v>2035</v>
      </c>
      <c r="P105" s="100">
        <v>2036</v>
      </c>
      <c r="Q105" s="100">
        <v>2037</v>
      </c>
      <c r="R105" s="101">
        <v>2038</v>
      </c>
      <c r="S105" s="101">
        <v>2039</v>
      </c>
      <c r="T105" s="101">
        <v>2040</v>
      </c>
    </row>
    <row r="106" spans="2:20" x14ac:dyDescent="0.25">
      <c r="B106" s="77" t="s">
        <v>173</v>
      </c>
      <c r="C106" s="13" t="s">
        <v>220</v>
      </c>
      <c r="D106" s="19"/>
      <c r="E106" s="19" t="s">
        <v>221</v>
      </c>
      <c r="F106" s="15" t="s">
        <v>222</v>
      </c>
      <c r="G106" s="15" t="s">
        <v>131</v>
      </c>
      <c r="H106" s="26">
        <f>Data!E15*H36</f>
        <v>0</v>
      </c>
      <c r="I106" s="26">
        <f>Data!F15*I36</f>
        <v>0</v>
      </c>
      <c r="J106" s="26">
        <f>Data!G15*J36</f>
        <v>0</v>
      </c>
      <c r="K106" s="26">
        <f>Data!H15*K36</f>
        <v>0</v>
      </c>
      <c r="L106" s="26">
        <f>Data!I15*L36</f>
        <v>0</v>
      </c>
      <c r="M106" s="26">
        <f>Data!J15*M36</f>
        <v>0</v>
      </c>
      <c r="N106" s="26">
        <f>Data!K15*N36</f>
        <v>0</v>
      </c>
      <c r="O106" s="26">
        <f>Data!L15*O36</f>
        <v>0</v>
      </c>
      <c r="P106" s="26">
        <f>Data!M15*P36</f>
        <v>0</v>
      </c>
      <c r="Q106" s="26">
        <f>Data!N15*Q36</f>
        <v>0</v>
      </c>
      <c r="R106" s="26">
        <f>Data!O15*R36</f>
        <v>0</v>
      </c>
      <c r="S106" s="26">
        <f>Data!P15*S36</f>
        <v>0</v>
      </c>
      <c r="T106" s="26">
        <f>Data!Q15*T36</f>
        <v>0</v>
      </c>
    </row>
    <row r="107" spans="2:20" x14ac:dyDescent="0.25">
      <c r="B107" s="77" t="s">
        <v>185</v>
      </c>
      <c r="C107" s="13" t="s">
        <v>223</v>
      </c>
      <c r="D107" s="19"/>
      <c r="E107" s="19" t="s">
        <v>224</v>
      </c>
      <c r="F107" s="15" t="s">
        <v>225</v>
      </c>
      <c r="G107" s="15" t="s">
        <v>123</v>
      </c>
      <c r="H107" s="26">
        <f>Data!E16*H37</f>
        <v>0</v>
      </c>
      <c r="I107" s="26">
        <f>Data!F16*I37</f>
        <v>0</v>
      </c>
      <c r="J107" s="26">
        <f>Data!G16*J37</f>
        <v>0</v>
      </c>
      <c r="K107" s="26">
        <f>Data!H16*K37</f>
        <v>0</v>
      </c>
      <c r="L107" s="26">
        <f>Data!I16*L37</f>
        <v>0</v>
      </c>
      <c r="M107" s="26">
        <f>Data!J16*M37</f>
        <v>0</v>
      </c>
      <c r="N107" s="26">
        <f>Data!K16*N37</f>
        <v>0</v>
      </c>
      <c r="O107" s="26">
        <f>Data!L16*O37</f>
        <v>0</v>
      </c>
      <c r="P107" s="26">
        <f>Data!M16*P37</f>
        <v>0</v>
      </c>
      <c r="Q107" s="26">
        <f>Data!N16*Q37</f>
        <v>0</v>
      </c>
      <c r="R107" s="26">
        <f>Data!O16*R37</f>
        <v>0</v>
      </c>
      <c r="S107" s="26">
        <f>Data!P16*S37</f>
        <v>0</v>
      </c>
      <c r="T107" s="26">
        <f>Data!Q16*T37</f>
        <v>0</v>
      </c>
    </row>
    <row r="108" spans="2:20" x14ac:dyDescent="0.25">
      <c r="B108" s="77" t="s">
        <v>75</v>
      </c>
      <c r="C108" s="13" t="s">
        <v>282</v>
      </c>
      <c r="D108" s="19"/>
      <c r="E108" s="19" t="s">
        <v>199</v>
      </c>
      <c r="F108" s="15" t="s">
        <v>200</v>
      </c>
      <c r="G108" s="15" t="s">
        <v>201</v>
      </c>
      <c r="H108" s="26">
        <f>H38*H47</f>
        <v>-629.60638840549473</v>
      </c>
      <c r="I108" s="26">
        <f>I38*I47</f>
        <v>-661.97637933404133</v>
      </c>
      <c r="J108" s="26">
        <f>J38*J47</f>
        <v>-690.8847868363647</v>
      </c>
      <c r="K108" s="26">
        <f t="shared" ref="K108:T108" si="40">K38*K47</f>
        <v>-677.86535721580822</v>
      </c>
      <c r="L108" s="26">
        <f t="shared" si="40"/>
        <v>-658.54647125718475</v>
      </c>
      <c r="M108" s="26">
        <f t="shared" si="40"/>
        <v>-632.9281289604944</v>
      </c>
      <c r="N108" s="26">
        <f t="shared" si="40"/>
        <v>-584.85999119999997</v>
      </c>
      <c r="O108" s="26">
        <f t="shared" si="40"/>
        <v>-598.52895599998385</v>
      </c>
      <c r="P108" s="26">
        <f t="shared" si="40"/>
        <v>-498.7613999999935</v>
      </c>
      <c r="Q108" s="26">
        <f t="shared" si="40"/>
        <v>-398.99384400000326</v>
      </c>
      <c r="R108" s="26">
        <f t="shared" si="40"/>
        <v>-299.22628799997244</v>
      </c>
      <c r="S108" s="26">
        <f t="shared" si="40"/>
        <v>-199.45873199998215</v>
      </c>
      <c r="T108" s="26">
        <f t="shared" si="40"/>
        <v>-99.691175999991856</v>
      </c>
    </row>
    <row r="109" spans="2:20" x14ac:dyDescent="0.25">
      <c r="B109" s="72" t="s">
        <v>213</v>
      </c>
      <c r="C109" s="13" t="s">
        <v>214</v>
      </c>
      <c r="D109" s="19"/>
      <c r="E109" s="19"/>
      <c r="F109" s="15" t="s">
        <v>215</v>
      </c>
      <c r="G109" s="15" t="s">
        <v>90</v>
      </c>
      <c r="H109" s="26">
        <f>(H34-Data!$D$7)*Data!$E$8</f>
        <v>-2.9868600000000001</v>
      </c>
      <c r="I109" s="26">
        <f>(I34-Data!$D$7)*Data!$E$8</f>
        <v>-2.9868600000000001</v>
      </c>
      <c r="J109" s="26">
        <f>(J34-Data!$D$7)*Data!$E$8</f>
        <v>-2.9868600000000001</v>
      </c>
      <c r="K109" s="26">
        <f>(K34-Data!$D$7)*Data!$E$8</f>
        <v>-2.9868600000000001</v>
      </c>
      <c r="L109" s="26">
        <f>(L34-Data!$D$7)*Data!$E$8</f>
        <v>-2.9868600000000001</v>
      </c>
      <c r="M109" s="26">
        <f>(M34-Data!$D$7)*Data!$E$8</f>
        <v>-2.9868600000000001</v>
      </c>
      <c r="N109" s="26">
        <f>(N34-Data!$D$7)*Data!$E$8</f>
        <v>-2.9868600000000001</v>
      </c>
      <c r="O109" s="26">
        <f>(O34-Data!$D$7)*Data!$E$8</f>
        <v>-3.1878599999999997</v>
      </c>
      <c r="P109" s="26">
        <f>(P34-Data!$D$7)*Data!$E$8</f>
        <v>-3.1878599999999997</v>
      </c>
      <c r="Q109" s="26">
        <f>(Q34-Data!$D$7)*Data!$E$8</f>
        <v>-3.1878599999999997</v>
      </c>
      <c r="R109" s="26">
        <f>(R34-Data!$D$7)*Data!$E$8</f>
        <v>-3.1878599999999997</v>
      </c>
      <c r="S109" s="26">
        <f>(S34-Data!$D$7)*Data!$E$8</f>
        <v>-3.1878599999999997</v>
      </c>
      <c r="T109" s="26">
        <f>(T34-Data!$D$7)*Data!$E$8</f>
        <v>-3.1878599999999997</v>
      </c>
    </row>
    <row r="110" spans="2:20" x14ac:dyDescent="0.25">
      <c r="C110" s="13" t="s">
        <v>216</v>
      </c>
      <c r="D110" s="19"/>
      <c r="E110" s="19" t="s">
        <v>217</v>
      </c>
      <c r="F110" s="15" t="s">
        <v>218</v>
      </c>
      <c r="G110" s="15" t="s">
        <v>131</v>
      </c>
      <c r="H110" s="26">
        <f>H109*H$6</f>
        <v>0</v>
      </c>
      <c r="I110" s="26">
        <f t="shared" ref="I110:T110" si="41">I109*I$6</f>
        <v>0</v>
      </c>
      <c r="J110" s="26">
        <f t="shared" si="41"/>
        <v>-522.70050000000003</v>
      </c>
      <c r="K110" s="26">
        <f t="shared" si="41"/>
        <v>-448.029</v>
      </c>
      <c r="L110" s="26">
        <f t="shared" si="41"/>
        <v>-373.35750000000002</v>
      </c>
      <c r="M110" s="26">
        <f t="shared" si="41"/>
        <v>-298.68600000000004</v>
      </c>
      <c r="N110" s="26">
        <f t="shared" si="41"/>
        <v>-224.0145</v>
      </c>
      <c r="O110" s="26">
        <f t="shared" si="41"/>
        <v>-159.39299999999997</v>
      </c>
      <c r="P110" s="26">
        <f t="shared" si="41"/>
        <v>-135.48405</v>
      </c>
      <c r="Q110" s="26">
        <f t="shared" si="41"/>
        <v>-111.57509999999999</v>
      </c>
      <c r="R110" s="26">
        <f t="shared" si="41"/>
        <v>-87.666149999999988</v>
      </c>
      <c r="S110" s="26">
        <f t="shared" si="41"/>
        <v>-63.757199999999997</v>
      </c>
      <c r="T110" s="26">
        <f t="shared" si="41"/>
        <v>-39.848249999999993</v>
      </c>
    </row>
    <row r="111" spans="2:20" x14ac:dyDescent="0.25">
      <c r="B111" s="72" t="s">
        <v>187</v>
      </c>
      <c r="C111" s="16" t="s">
        <v>66</v>
      </c>
      <c r="D111" s="78"/>
      <c r="E111" s="19" t="s">
        <v>188</v>
      </c>
      <c r="F111" s="15"/>
      <c r="G111" s="79" t="s">
        <v>131</v>
      </c>
      <c r="H111" s="108">
        <f>H39*Data!$E$8*1000</f>
        <v>1976.0669972160833</v>
      </c>
      <c r="I111" s="108">
        <f>I39*Data!$E$8*1000</f>
        <v>1857.7717311320353</v>
      </c>
      <c r="J111" s="108">
        <f>J39*Data!$E$8*1000</f>
        <v>1737.6006690252175</v>
      </c>
      <c r="K111" s="108">
        <f>K39*Data!$E$8*1000</f>
        <v>1706.2715021359645</v>
      </c>
      <c r="L111" s="108">
        <f>L39*Data!$E$8*1000</f>
        <v>1672.00116980705</v>
      </c>
      <c r="M111" s="108">
        <f>M39*Data!$E$8*1000</f>
        <v>1634.807716079667</v>
      </c>
      <c r="N111" s="108">
        <f>N39*Data!$E$8*1000</f>
        <v>1594.7091849950073</v>
      </c>
      <c r="O111" s="108">
        <f>O39*Data!$E$8*1000</f>
        <v>1551.7236205943186</v>
      </c>
      <c r="P111" s="108">
        <f>P39*Data!$E$8*1000</f>
        <v>1516.8692598255693</v>
      </c>
      <c r="Q111" s="108">
        <f>Q39*Data!$E$8*1000</f>
        <v>1480.0188220296868</v>
      </c>
      <c r="R111" s="108">
        <f>R39*Data!$E$8*1000</f>
        <v>1441.1792270338703</v>
      </c>
      <c r="S111" s="108">
        <f>S39*Data!$E$8*1000</f>
        <v>1400.3573946652232</v>
      </c>
      <c r="T111" s="108">
        <f>T39*Data!$E$8*1000</f>
        <v>1357.5602447509195</v>
      </c>
    </row>
    <row r="112" spans="2:20" x14ac:dyDescent="0.25">
      <c r="C112" s="16" t="s">
        <v>72</v>
      </c>
      <c r="D112" s="78"/>
      <c r="E112" s="19" t="s">
        <v>226</v>
      </c>
      <c r="F112" s="15"/>
      <c r="G112" s="79" t="s">
        <v>131</v>
      </c>
      <c r="H112" s="108">
        <f>H106</f>
        <v>0</v>
      </c>
      <c r="I112" s="108">
        <f t="shared" ref="I112:T112" si="42">I106</f>
        <v>0</v>
      </c>
      <c r="J112" s="108">
        <f t="shared" si="42"/>
        <v>0</v>
      </c>
      <c r="K112" s="108">
        <f t="shared" si="42"/>
        <v>0</v>
      </c>
      <c r="L112" s="108">
        <f t="shared" si="42"/>
        <v>0</v>
      </c>
      <c r="M112" s="108">
        <f t="shared" si="42"/>
        <v>0</v>
      </c>
      <c r="N112" s="108">
        <f t="shared" si="42"/>
        <v>0</v>
      </c>
      <c r="O112" s="108">
        <f t="shared" si="42"/>
        <v>0</v>
      </c>
      <c r="P112" s="108">
        <f t="shared" si="42"/>
        <v>0</v>
      </c>
      <c r="Q112" s="108">
        <f t="shared" si="42"/>
        <v>0</v>
      </c>
      <c r="R112" s="108">
        <f t="shared" si="42"/>
        <v>0</v>
      </c>
      <c r="S112" s="108">
        <f t="shared" si="42"/>
        <v>0</v>
      </c>
      <c r="T112" s="108">
        <f t="shared" si="42"/>
        <v>0</v>
      </c>
    </row>
    <row r="113" spans="3:20" x14ac:dyDescent="0.25">
      <c r="C113" s="16" t="s">
        <v>77</v>
      </c>
      <c r="D113" s="78"/>
      <c r="E113" s="19" t="s">
        <v>227</v>
      </c>
      <c r="F113" s="15"/>
      <c r="G113" s="79" t="s">
        <v>131</v>
      </c>
      <c r="H113" s="108">
        <f>H107</f>
        <v>0</v>
      </c>
      <c r="I113" s="108">
        <f t="shared" ref="I113:T113" si="43">I107</f>
        <v>0</v>
      </c>
      <c r="J113" s="108">
        <f t="shared" si="43"/>
        <v>0</v>
      </c>
      <c r="K113" s="108">
        <f t="shared" si="43"/>
        <v>0</v>
      </c>
      <c r="L113" s="108">
        <f t="shared" si="43"/>
        <v>0</v>
      </c>
      <c r="M113" s="108">
        <f t="shared" si="43"/>
        <v>0</v>
      </c>
      <c r="N113" s="108">
        <f t="shared" si="43"/>
        <v>0</v>
      </c>
      <c r="O113" s="108">
        <f t="shared" si="43"/>
        <v>0</v>
      </c>
      <c r="P113" s="108">
        <f t="shared" si="43"/>
        <v>0</v>
      </c>
      <c r="Q113" s="108">
        <f t="shared" si="43"/>
        <v>0</v>
      </c>
      <c r="R113" s="108">
        <f t="shared" si="43"/>
        <v>0</v>
      </c>
      <c r="S113" s="108">
        <f t="shared" si="43"/>
        <v>0</v>
      </c>
      <c r="T113" s="108">
        <f t="shared" si="43"/>
        <v>0</v>
      </c>
    </row>
    <row r="114" spans="3:20" x14ac:dyDescent="0.25">
      <c r="C114" s="16" t="s">
        <v>296</v>
      </c>
      <c r="D114" s="78"/>
      <c r="E114" s="19"/>
      <c r="F114" s="15"/>
      <c r="G114" s="79" t="s">
        <v>131</v>
      </c>
      <c r="H114" s="108">
        <f>H108</f>
        <v>-629.60638840549473</v>
      </c>
      <c r="I114" s="108">
        <f>I108</f>
        <v>-661.97637933404133</v>
      </c>
      <c r="J114" s="108">
        <f>J108</f>
        <v>-690.8847868363647</v>
      </c>
      <c r="K114" s="108">
        <f t="shared" ref="K114:T114" si="44">K108</f>
        <v>-677.86535721580822</v>
      </c>
      <c r="L114" s="108">
        <f t="shared" si="44"/>
        <v>-658.54647125718475</v>
      </c>
      <c r="M114" s="108">
        <f t="shared" si="44"/>
        <v>-632.9281289604944</v>
      </c>
      <c r="N114" s="108">
        <f t="shared" si="44"/>
        <v>-584.85999119999997</v>
      </c>
      <c r="O114" s="108">
        <f t="shared" si="44"/>
        <v>-598.52895599998385</v>
      </c>
      <c r="P114" s="108">
        <f t="shared" si="44"/>
        <v>-498.7613999999935</v>
      </c>
      <c r="Q114" s="108">
        <f t="shared" si="44"/>
        <v>-398.99384400000326</v>
      </c>
      <c r="R114" s="108">
        <f t="shared" si="44"/>
        <v>-299.22628799997244</v>
      </c>
      <c r="S114" s="108">
        <f t="shared" si="44"/>
        <v>-199.45873199998215</v>
      </c>
      <c r="T114" s="108">
        <f t="shared" si="44"/>
        <v>-99.691175999991856</v>
      </c>
    </row>
    <row r="115" spans="3:20" ht="15.75" thickBot="1" x14ac:dyDescent="0.3">
      <c r="C115" s="84" t="s">
        <v>216</v>
      </c>
      <c r="D115" s="85"/>
      <c r="E115" s="86"/>
      <c r="F115" s="87"/>
      <c r="G115" s="82" t="s">
        <v>131</v>
      </c>
      <c r="H115" s="109">
        <f>H110</f>
        <v>0</v>
      </c>
      <c r="I115" s="109">
        <f t="shared" ref="I115:T115" si="45">I110</f>
        <v>0</v>
      </c>
      <c r="J115" s="109">
        <f t="shared" si="45"/>
        <v>-522.70050000000003</v>
      </c>
      <c r="K115" s="109">
        <f t="shared" si="45"/>
        <v>-448.029</v>
      </c>
      <c r="L115" s="109">
        <f t="shared" si="45"/>
        <v>-373.35750000000002</v>
      </c>
      <c r="M115" s="109">
        <f t="shared" si="45"/>
        <v>-298.68600000000004</v>
      </c>
      <c r="N115" s="109">
        <f t="shared" si="45"/>
        <v>-224.0145</v>
      </c>
      <c r="O115" s="109">
        <f t="shared" si="45"/>
        <v>-159.39299999999997</v>
      </c>
      <c r="P115" s="109">
        <f t="shared" si="45"/>
        <v>-135.48405</v>
      </c>
      <c r="Q115" s="109">
        <f t="shared" si="45"/>
        <v>-111.57509999999999</v>
      </c>
      <c r="R115" s="109">
        <f t="shared" si="45"/>
        <v>-87.666149999999988</v>
      </c>
      <c r="S115" s="109">
        <f t="shared" si="45"/>
        <v>-63.757199999999997</v>
      </c>
      <c r="T115" s="109">
        <f t="shared" si="45"/>
        <v>-39.848249999999993</v>
      </c>
    </row>
    <row r="116" spans="3:20" ht="15.75" thickTop="1" x14ac:dyDescent="0.25">
      <c r="C116" s="83" t="s">
        <v>81</v>
      </c>
      <c r="E116" s="19"/>
      <c r="F116" s="15" t="s">
        <v>204</v>
      </c>
      <c r="G116" s="79" t="s">
        <v>131</v>
      </c>
      <c r="H116" s="108">
        <f>SUM(H111:H115)</f>
        <v>1346.4606088105886</v>
      </c>
      <c r="I116" s="108">
        <f t="shared" ref="I116:T116" si="46">SUM(I111:I115)</f>
        <v>1195.795351797994</v>
      </c>
      <c r="J116" s="108">
        <f t="shared" si="46"/>
        <v>524.01538218885287</v>
      </c>
      <c r="K116" s="108">
        <f t="shared" si="46"/>
        <v>580.3771449201563</v>
      </c>
      <c r="L116" s="108">
        <f t="shared" si="46"/>
        <v>640.0971985498652</v>
      </c>
      <c r="M116" s="108">
        <f t="shared" si="46"/>
        <v>703.19358711917255</v>
      </c>
      <c r="N116" s="108">
        <f t="shared" si="46"/>
        <v>785.8346937950073</v>
      </c>
      <c r="O116" s="108">
        <f t="shared" si="46"/>
        <v>793.80166459433485</v>
      </c>
      <c r="P116" s="108">
        <f t="shared" si="46"/>
        <v>882.62380982557579</v>
      </c>
      <c r="Q116" s="108">
        <f t="shared" si="46"/>
        <v>969.44987802968353</v>
      </c>
      <c r="R116" s="108">
        <f t="shared" si="46"/>
        <v>1054.286789033898</v>
      </c>
      <c r="S116" s="108">
        <f t="shared" si="46"/>
        <v>1137.1414626652411</v>
      </c>
      <c r="T116" s="108">
        <f t="shared" si="46"/>
        <v>1218.0208187509277</v>
      </c>
    </row>
    <row r="117" spans="3:20" x14ac:dyDescent="0.25">
      <c r="I117" s="70"/>
      <c r="J117" s="70"/>
      <c r="K117" s="70"/>
      <c r="L117" s="70"/>
    </row>
    <row r="118" spans="3:20" x14ac:dyDescent="0.25">
      <c r="J118" s="70"/>
      <c r="K118" s="70"/>
      <c r="L118" s="70"/>
      <c r="M118" s="70"/>
      <c r="N118" s="70"/>
      <c r="O118" s="70"/>
      <c r="P118" s="70"/>
      <c r="Q118" s="70"/>
      <c r="R118" s="70"/>
      <c r="S118" s="70"/>
      <c r="T118" s="70"/>
    </row>
    <row r="119" spans="3:20" x14ac:dyDescent="0.25">
      <c r="H119" s="68"/>
      <c r="I119" s="68"/>
      <c r="J119" s="68"/>
      <c r="K119" s="70"/>
      <c r="L119" s="70"/>
      <c r="M119" s="70"/>
      <c r="N119" s="70"/>
      <c r="O119" s="70"/>
      <c r="P119" s="70"/>
      <c r="Q119" s="70"/>
      <c r="R119" s="70"/>
      <c r="S119" s="70"/>
      <c r="T119" s="70"/>
    </row>
    <row r="120" spans="3:20" x14ac:dyDescent="0.25">
      <c r="H120" s="68"/>
      <c r="I120" s="68"/>
      <c r="J120" s="68"/>
      <c r="K120" s="70"/>
      <c r="L120" s="70"/>
      <c r="M120" s="70"/>
      <c r="N120" s="70"/>
      <c r="O120" s="70"/>
      <c r="P120" s="70"/>
      <c r="Q120" s="70"/>
      <c r="R120" s="70"/>
      <c r="S120" s="70"/>
      <c r="T120" s="70"/>
    </row>
    <row r="121" spans="3:20" x14ac:dyDescent="0.25">
      <c r="H121" s="68"/>
      <c r="I121" s="68"/>
      <c r="J121" s="68"/>
      <c r="K121" s="70"/>
      <c r="L121" s="70"/>
      <c r="M121" s="70"/>
      <c r="N121" s="70"/>
      <c r="O121" s="70"/>
      <c r="P121" s="70"/>
      <c r="Q121" s="70"/>
      <c r="R121" s="70"/>
      <c r="S121" s="70"/>
      <c r="T121" s="70"/>
    </row>
    <row r="122" spans="3:20" x14ac:dyDescent="0.25">
      <c r="H122" s="68"/>
      <c r="I122" s="68"/>
      <c r="J122" s="68"/>
      <c r="K122" s="70"/>
      <c r="L122" s="70"/>
      <c r="M122" s="70"/>
      <c r="N122" s="70"/>
      <c r="O122" s="70"/>
      <c r="P122" s="70"/>
      <c r="Q122" s="70"/>
      <c r="R122" s="70"/>
      <c r="S122" s="70"/>
      <c r="T122" s="70"/>
    </row>
    <row r="123" spans="3:20" x14ac:dyDescent="0.25">
      <c r="J123" s="70"/>
      <c r="K123" s="70"/>
      <c r="L123" s="70"/>
      <c r="M123" s="70"/>
      <c r="N123" s="70"/>
      <c r="O123" s="70"/>
      <c r="P123" s="70"/>
      <c r="Q123" s="70"/>
      <c r="R123" s="70"/>
      <c r="S123" s="70"/>
      <c r="T123" s="70"/>
    </row>
    <row r="124" spans="3:20" x14ac:dyDescent="0.25">
      <c r="J124" s="70"/>
      <c r="K124" s="70"/>
      <c r="L124" s="70"/>
      <c r="M124" s="70"/>
      <c r="N124" s="70"/>
      <c r="O124" s="70"/>
      <c r="P124" s="70"/>
      <c r="Q124" s="70"/>
      <c r="R124" s="70"/>
      <c r="S124" s="70"/>
      <c r="T124" s="70"/>
    </row>
    <row r="125" spans="3:20" x14ac:dyDescent="0.25">
      <c r="J125" s="70"/>
      <c r="K125" s="70"/>
      <c r="L125" s="70"/>
      <c r="M125" s="70"/>
      <c r="N125" s="70"/>
      <c r="O125" s="70"/>
      <c r="P125" s="70"/>
      <c r="Q125" s="70"/>
      <c r="R125" s="70"/>
      <c r="S125" s="70"/>
      <c r="T125" s="70"/>
    </row>
    <row r="126" spans="3:20" x14ac:dyDescent="0.25">
      <c r="J126" s="70"/>
      <c r="K126" s="70"/>
      <c r="L126" s="70"/>
      <c r="M126" s="70"/>
      <c r="N126" s="70"/>
      <c r="O126" s="70"/>
      <c r="P126" s="70"/>
      <c r="Q126" s="70"/>
      <c r="R126" s="70"/>
      <c r="S126" s="70"/>
      <c r="T126" s="70"/>
    </row>
    <row r="127" spans="3:20" x14ac:dyDescent="0.25">
      <c r="J127" s="70"/>
      <c r="K127" s="70"/>
      <c r="L127" s="70"/>
      <c r="M127" s="70"/>
      <c r="N127" s="70"/>
      <c r="O127" s="70"/>
      <c r="P127" s="70"/>
      <c r="Q127" s="70"/>
      <c r="R127" s="70"/>
      <c r="S127" s="70"/>
      <c r="T127" s="70"/>
    </row>
    <row r="128" spans="3:20" x14ac:dyDescent="0.25">
      <c r="J128" s="70"/>
      <c r="K128" s="70"/>
      <c r="L128" s="70"/>
      <c r="M128" s="70"/>
      <c r="N128" s="70"/>
      <c r="O128" s="70"/>
      <c r="P128" s="70"/>
      <c r="Q128" s="70"/>
      <c r="R128" s="70"/>
      <c r="S128" s="70"/>
      <c r="T128" s="70"/>
    </row>
    <row r="129" spans="10:20" x14ac:dyDescent="0.25">
      <c r="J129" s="70"/>
      <c r="K129" s="70"/>
      <c r="L129" s="70"/>
      <c r="M129" s="70"/>
      <c r="N129" s="70"/>
      <c r="O129" s="70"/>
      <c r="P129" s="70"/>
      <c r="Q129" s="70"/>
      <c r="R129" s="70"/>
      <c r="S129" s="70"/>
      <c r="T129" s="70"/>
    </row>
    <row r="130" spans="10:20" x14ac:dyDescent="0.25">
      <c r="J130" s="70"/>
      <c r="K130" s="70"/>
      <c r="L130" s="70"/>
      <c r="M130" s="70"/>
      <c r="N130" s="70"/>
      <c r="O130" s="70"/>
      <c r="P130" s="70"/>
      <c r="Q130" s="70"/>
      <c r="R130" s="70"/>
      <c r="S130" s="70"/>
      <c r="T130" s="70"/>
    </row>
    <row r="131" spans="10:20" x14ac:dyDescent="0.25">
      <c r="J131" s="70"/>
      <c r="K131" s="70"/>
      <c r="L131" s="70"/>
      <c r="M131" s="70"/>
      <c r="N131" s="70"/>
      <c r="O131" s="70"/>
      <c r="P131" s="70"/>
      <c r="Q131" s="70"/>
      <c r="R131" s="70"/>
      <c r="S131" s="70"/>
      <c r="T131" s="70"/>
    </row>
    <row r="132" spans="10:20" x14ac:dyDescent="0.25">
      <c r="J132" s="70"/>
      <c r="K132" s="70"/>
      <c r="L132" s="70"/>
      <c r="M132" s="70"/>
      <c r="N132" s="70"/>
      <c r="O132" s="70"/>
      <c r="P132" s="70"/>
      <c r="Q132" s="70"/>
      <c r="R132" s="70"/>
      <c r="S132" s="70"/>
      <c r="T132" s="70"/>
    </row>
    <row r="133" spans="10:20" x14ac:dyDescent="0.25">
      <c r="J133" s="70"/>
      <c r="K133" s="70"/>
      <c r="L133" s="70"/>
      <c r="M133" s="70"/>
      <c r="N133" s="70"/>
      <c r="O133" s="70"/>
      <c r="P133" s="70"/>
      <c r="Q133" s="70"/>
      <c r="R133" s="70"/>
      <c r="S133" s="70"/>
      <c r="T133" s="70"/>
    </row>
    <row r="134" spans="10:20" x14ac:dyDescent="0.25">
      <c r="J134" s="70"/>
      <c r="K134" s="70"/>
      <c r="L134" s="70"/>
      <c r="M134" s="70"/>
      <c r="N134" s="70"/>
      <c r="O134" s="70"/>
      <c r="P134" s="70"/>
      <c r="Q134" s="70"/>
      <c r="R134" s="70"/>
      <c r="S134" s="70"/>
      <c r="T134" s="70"/>
    </row>
    <row r="135" spans="10:20" x14ac:dyDescent="0.25">
      <c r="J135" s="70"/>
      <c r="K135" s="70"/>
      <c r="L135" s="70"/>
      <c r="M135" s="70"/>
      <c r="N135" s="70"/>
      <c r="O135" s="70"/>
      <c r="P135" s="70"/>
      <c r="Q135" s="70"/>
      <c r="R135" s="70"/>
      <c r="S135" s="70"/>
      <c r="T135" s="70"/>
    </row>
    <row r="136" spans="10:20" x14ac:dyDescent="0.25">
      <c r="J136" s="70"/>
      <c r="K136" s="70"/>
      <c r="L136" s="70"/>
      <c r="M136" s="70"/>
      <c r="N136" s="70"/>
      <c r="O136" s="70"/>
      <c r="P136" s="70"/>
      <c r="Q136" s="70"/>
      <c r="R136" s="70"/>
      <c r="S136" s="70"/>
      <c r="T136" s="70"/>
    </row>
    <row r="137" spans="10:20" x14ac:dyDescent="0.25">
      <c r="J137" s="70"/>
      <c r="K137" s="70"/>
      <c r="L137" s="70"/>
      <c r="M137" s="70"/>
      <c r="N137" s="70"/>
      <c r="O137" s="70"/>
      <c r="P137" s="70"/>
      <c r="Q137" s="70"/>
      <c r="R137" s="70"/>
      <c r="S137" s="70"/>
      <c r="T137" s="70"/>
    </row>
    <row r="138" spans="10:20" x14ac:dyDescent="0.25">
      <c r="J138" s="70"/>
      <c r="K138" s="70"/>
      <c r="L138" s="70"/>
      <c r="M138" s="70"/>
      <c r="N138" s="70"/>
      <c r="O138" s="70"/>
      <c r="P138" s="70"/>
      <c r="Q138" s="70"/>
      <c r="R138" s="70"/>
      <c r="S138" s="70"/>
      <c r="T138" s="70"/>
    </row>
    <row r="139" spans="10:20" x14ac:dyDescent="0.25">
      <c r="J139" s="70"/>
      <c r="K139" s="70"/>
      <c r="L139" s="70"/>
      <c r="M139" s="70"/>
      <c r="N139" s="70"/>
      <c r="O139" s="70"/>
      <c r="P139" s="70"/>
      <c r="Q139" s="70"/>
      <c r="R139" s="70"/>
      <c r="S139" s="70"/>
      <c r="T139" s="70"/>
    </row>
    <row r="140" spans="10:20" x14ac:dyDescent="0.25">
      <c r="J140" s="70"/>
      <c r="K140" s="70"/>
      <c r="L140" s="70"/>
      <c r="M140" s="70"/>
      <c r="N140" s="70"/>
      <c r="O140" s="70"/>
      <c r="P140" s="70"/>
      <c r="Q140" s="70"/>
      <c r="R140" s="70"/>
      <c r="S140" s="70"/>
      <c r="T140" s="70"/>
    </row>
    <row r="141" spans="10:20" x14ac:dyDescent="0.25">
      <c r="J141" s="70"/>
      <c r="K141" s="70"/>
      <c r="L141" s="70"/>
      <c r="M141" s="70"/>
      <c r="N141" s="70"/>
      <c r="O141" s="70"/>
      <c r="P141" s="70"/>
      <c r="Q141" s="70"/>
      <c r="R141" s="70"/>
      <c r="S141" s="70"/>
      <c r="T141" s="70"/>
    </row>
    <row r="142" spans="10:20" x14ac:dyDescent="0.25">
      <c r="J142" s="70"/>
      <c r="K142" s="70"/>
      <c r="L142" s="70"/>
      <c r="M142" s="70"/>
      <c r="N142" s="70"/>
      <c r="O142" s="70"/>
      <c r="P142" s="70"/>
      <c r="Q142" s="70"/>
      <c r="R142" s="70"/>
      <c r="S142" s="70"/>
      <c r="T142" s="70"/>
    </row>
    <row r="143" spans="10:20" x14ac:dyDescent="0.25">
      <c r="J143" s="70"/>
      <c r="K143" s="70"/>
      <c r="L143" s="70"/>
      <c r="M143" s="70"/>
      <c r="N143" s="70"/>
      <c r="O143" s="70"/>
      <c r="P143" s="70"/>
      <c r="Q143" s="70"/>
      <c r="R143" s="70"/>
      <c r="S143" s="70"/>
      <c r="T143" s="70"/>
    </row>
    <row r="144" spans="10:20" x14ac:dyDescent="0.25">
      <c r="J144" s="70"/>
      <c r="K144" s="70"/>
      <c r="L144" s="70"/>
      <c r="M144" s="70"/>
      <c r="N144" s="70"/>
      <c r="O144" s="70"/>
      <c r="P144" s="70"/>
      <c r="Q144" s="70"/>
      <c r="R144" s="70"/>
      <c r="S144" s="70"/>
      <c r="T144" s="70"/>
    </row>
    <row r="145" spans="10:20" x14ac:dyDescent="0.25">
      <c r="J145" s="70"/>
      <c r="K145" s="70"/>
      <c r="L145" s="70"/>
      <c r="M145" s="70"/>
      <c r="N145" s="70"/>
      <c r="O145" s="70"/>
      <c r="P145" s="70"/>
      <c r="Q145" s="70"/>
      <c r="R145" s="70"/>
      <c r="S145" s="70"/>
      <c r="T145" s="70"/>
    </row>
    <row r="146" spans="10:20" x14ac:dyDescent="0.25">
      <c r="J146" s="70"/>
      <c r="K146" s="70"/>
      <c r="L146" s="70"/>
      <c r="M146" s="70"/>
      <c r="N146" s="70"/>
      <c r="O146" s="70"/>
      <c r="P146" s="70"/>
      <c r="Q146" s="70"/>
      <c r="R146" s="70"/>
      <c r="S146" s="70"/>
      <c r="T146" s="70"/>
    </row>
    <row r="147" spans="10:20" x14ac:dyDescent="0.25">
      <c r="J147" s="70"/>
      <c r="K147" s="70"/>
      <c r="L147" s="70"/>
      <c r="M147" s="70"/>
      <c r="N147" s="70"/>
      <c r="O147" s="70"/>
      <c r="P147" s="70"/>
      <c r="Q147" s="70"/>
      <c r="R147" s="70"/>
      <c r="S147" s="70"/>
      <c r="T147" s="70"/>
    </row>
    <row r="148" spans="10:20" x14ac:dyDescent="0.25">
      <c r="J148" s="70"/>
      <c r="K148" s="70"/>
      <c r="L148" s="70"/>
      <c r="M148" s="70"/>
      <c r="N148" s="70"/>
      <c r="O148" s="70"/>
      <c r="P148" s="70"/>
      <c r="Q148" s="70"/>
      <c r="R148" s="70"/>
      <c r="S148" s="70"/>
      <c r="T148" s="70"/>
    </row>
    <row r="149" spans="10:20" x14ac:dyDescent="0.25">
      <c r="J149" s="70"/>
      <c r="K149" s="70"/>
      <c r="L149" s="70"/>
      <c r="M149" s="70"/>
      <c r="N149" s="70"/>
      <c r="O149" s="70"/>
      <c r="P149" s="70"/>
      <c r="Q149" s="70"/>
      <c r="R149" s="70"/>
      <c r="S149" s="70"/>
      <c r="T149" s="70"/>
    </row>
    <row r="150" spans="10:20" x14ac:dyDescent="0.25">
      <c r="J150" s="70"/>
      <c r="K150" s="70"/>
      <c r="L150" s="70"/>
      <c r="M150" s="70"/>
      <c r="N150" s="70"/>
      <c r="O150" s="70"/>
      <c r="P150" s="70"/>
      <c r="Q150" s="70"/>
      <c r="R150" s="70"/>
      <c r="S150" s="70"/>
      <c r="T150" s="70"/>
    </row>
    <row r="151" spans="10:20" x14ac:dyDescent="0.25">
      <c r="J151" s="70"/>
      <c r="K151" s="70"/>
      <c r="L151" s="70"/>
      <c r="M151" s="70"/>
      <c r="N151" s="70"/>
      <c r="O151" s="70"/>
      <c r="P151" s="70"/>
      <c r="Q151" s="70"/>
      <c r="R151" s="70"/>
      <c r="S151" s="70"/>
      <c r="T151" s="70"/>
    </row>
    <row r="152" spans="10:20" x14ac:dyDescent="0.25">
      <c r="J152" s="70"/>
      <c r="K152" s="70"/>
      <c r="L152" s="70"/>
      <c r="M152" s="70"/>
      <c r="N152" s="70"/>
      <c r="O152" s="70"/>
      <c r="P152" s="70"/>
      <c r="Q152" s="70"/>
      <c r="R152" s="70"/>
      <c r="S152" s="70"/>
      <c r="T152" s="70"/>
    </row>
    <row r="153" spans="10:20" x14ac:dyDescent="0.25">
      <c r="J153" s="70"/>
      <c r="K153" s="70"/>
      <c r="L153" s="70"/>
      <c r="M153" s="70"/>
      <c r="N153" s="70"/>
      <c r="O153" s="70"/>
      <c r="P153" s="70"/>
      <c r="Q153" s="70"/>
      <c r="R153" s="70"/>
      <c r="S153" s="70"/>
      <c r="T153" s="70"/>
    </row>
    <row r="154" spans="10:20" x14ac:dyDescent="0.25">
      <c r="J154" s="70"/>
      <c r="K154" s="70"/>
      <c r="L154" s="70"/>
      <c r="M154" s="70"/>
      <c r="N154" s="70"/>
      <c r="O154" s="70"/>
      <c r="P154" s="70"/>
      <c r="Q154" s="70"/>
      <c r="R154" s="70"/>
      <c r="S154" s="70"/>
      <c r="T154" s="70"/>
    </row>
    <row r="155" spans="10:20" x14ac:dyDescent="0.25">
      <c r="J155" s="70"/>
      <c r="K155" s="70"/>
      <c r="L155" s="70"/>
      <c r="M155" s="70"/>
      <c r="N155" s="70"/>
      <c r="O155" s="70"/>
      <c r="P155" s="70"/>
      <c r="Q155" s="70"/>
      <c r="R155" s="70"/>
      <c r="S155" s="70"/>
      <c r="T155" s="70"/>
    </row>
    <row r="156" spans="10:20" x14ac:dyDescent="0.25">
      <c r="J156" s="70"/>
      <c r="K156" s="70"/>
      <c r="L156" s="70"/>
      <c r="M156" s="70"/>
      <c r="N156" s="70"/>
      <c r="O156" s="70"/>
      <c r="P156" s="70"/>
      <c r="Q156" s="70"/>
      <c r="R156" s="70"/>
      <c r="S156" s="70"/>
      <c r="T156" s="70"/>
    </row>
    <row r="157" spans="10:20" x14ac:dyDescent="0.25">
      <c r="J157" s="70"/>
      <c r="K157" s="70"/>
      <c r="L157" s="70"/>
      <c r="M157" s="70"/>
      <c r="N157" s="70"/>
      <c r="O157" s="70"/>
      <c r="P157" s="70"/>
      <c r="Q157" s="70"/>
      <c r="R157" s="70"/>
      <c r="S157" s="70"/>
      <c r="T157" s="70"/>
    </row>
    <row r="158" spans="10:20" x14ac:dyDescent="0.25">
      <c r="J158" s="70"/>
      <c r="K158" s="70"/>
      <c r="L158" s="70"/>
      <c r="M158" s="70"/>
      <c r="N158" s="70"/>
      <c r="O158" s="70"/>
      <c r="P158" s="70"/>
      <c r="Q158" s="70"/>
      <c r="R158" s="70"/>
      <c r="S158" s="70"/>
      <c r="T158" s="70"/>
    </row>
    <row r="159" spans="10:20" x14ac:dyDescent="0.25">
      <c r="J159" s="70"/>
      <c r="K159" s="70"/>
      <c r="L159" s="70"/>
      <c r="M159" s="70"/>
      <c r="N159" s="70"/>
      <c r="O159" s="70"/>
      <c r="P159" s="70"/>
      <c r="Q159" s="70"/>
      <c r="R159" s="70"/>
      <c r="S159" s="70"/>
      <c r="T159" s="70"/>
    </row>
    <row r="160" spans="10:20" x14ac:dyDescent="0.25">
      <c r="J160" s="70"/>
      <c r="K160" s="70"/>
      <c r="L160" s="70"/>
      <c r="M160" s="70"/>
      <c r="N160" s="70"/>
      <c r="O160" s="70"/>
      <c r="P160" s="70"/>
      <c r="Q160" s="70"/>
      <c r="R160" s="70"/>
      <c r="S160" s="70"/>
      <c r="T160" s="70"/>
    </row>
    <row r="161" spans="10:20" x14ac:dyDescent="0.25">
      <c r="J161" s="70"/>
      <c r="K161" s="70"/>
      <c r="L161" s="70"/>
      <c r="M161" s="70"/>
      <c r="N161" s="70"/>
      <c r="O161" s="70"/>
      <c r="P161" s="70"/>
      <c r="Q161" s="70"/>
      <c r="R161" s="70"/>
      <c r="S161" s="70"/>
      <c r="T161" s="70"/>
    </row>
    <row r="162" spans="10:20" x14ac:dyDescent="0.25">
      <c r="J162" s="70"/>
      <c r="K162" s="70"/>
      <c r="L162" s="70"/>
      <c r="M162" s="70"/>
      <c r="N162" s="70"/>
      <c r="O162" s="70"/>
      <c r="P162" s="70"/>
      <c r="Q162" s="70"/>
      <c r="R162" s="70"/>
      <c r="S162" s="70"/>
      <c r="T162" s="70"/>
    </row>
    <row r="163" spans="10:20" x14ac:dyDescent="0.25">
      <c r="J163" s="70"/>
      <c r="K163" s="70"/>
      <c r="L163" s="70"/>
      <c r="M163" s="70"/>
      <c r="N163" s="70"/>
      <c r="O163" s="70"/>
      <c r="P163" s="70"/>
      <c r="Q163" s="70"/>
      <c r="R163" s="70"/>
      <c r="S163" s="70"/>
      <c r="T163" s="70"/>
    </row>
    <row r="164" spans="10:20" x14ac:dyDescent="0.25">
      <c r="J164" s="70"/>
      <c r="K164" s="70"/>
      <c r="L164" s="70"/>
      <c r="M164" s="70"/>
      <c r="N164" s="70"/>
      <c r="O164" s="70"/>
      <c r="P164" s="70"/>
      <c r="Q164" s="70"/>
      <c r="R164" s="70"/>
      <c r="S164" s="70"/>
      <c r="T164" s="70"/>
    </row>
    <row r="165" spans="10:20" x14ac:dyDescent="0.25">
      <c r="J165" s="70"/>
      <c r="K165" s="70"/>
      <c r="L165" s="70"/>
      <c r="M165" s="70"/>
      <c r="N165" s="70"/>
      <c r="O165" s="70"/>
      <c r="P165" s="70"/>
      <c r="Q165" s="70"/>
      <c r="R165" s="70"/>
      <c r="S165" s="70"/>
      <c r="T165" s="70"/>
    </row>
    <row r="166" spans="10:20" x14ac:dyDescent="0.25">
      <c r="J166" s="70"/>
      <c r="K166" s="70"/>
      <c r="L166" s="70"/>
      <c r="M166" s="70"/>
      <c r="N166" s="70"/>
      <c r="O166" s="70"/>
      <c r="P166" s="70"/>
      <c r="Q166" s="70"/>
      <c r="R166" s="70"/>
      <c r="S166" s="70"/>
      <c r="T166" s="70"/>
    </row>
    <row r="167" spans="10:20" x14ac:dyDescent="0.25">
      <c r="J167" s="70"/>
      <c r="K167" s="70"/>
      <c r="L167" s="70"/>
      <c r="M167" s="70"/>
      <c r="N167" s="70"/>
      <c r="O167" s="70"/>
      <c r="P167" s="70"/>
      <c r="Q167" s="70"/>
      <c r="R167" s="70"/>
      <c r="S167" s="70"/>
      <c r="T167" s="70"/>
    </row>
    <row r="168" spans="10:20" x14ac:dyDescent="0.25">
      <c r="J168" s="70"/>
      <c r="K168" s="70"/>
      <c r="L168" s="70"/>
      <c r="M168" s="70"/>
      <c r="N168" s="70"/>
      <c r="O168" s="70"/>
      <c r="P168" s="70"/>
      <c r="Q168" s="70"/>
      <c r="R168" s="70"/>
      <c r="S168" s="70"/>
      <c r="T168" s="70"/>
    </row>
    <row r="169" spans="10:20" x14ac:dyDescent="0.25">
      <c r="J169" s="70"/>
      <c r="K169" s="70"/>
      <c r="L169" s="70"/>
      <c r="M169" s="70"/>
      <c r="N169" s="70"/>
      <c r="O169" s="70"/>
      <c r="P169" s="70"/>
      <c r="Q169" s="70"/>
      <c r="R169" s="70"/>
      <c r="S169" s="70"/>
      <c r="T169" s="70"/>
    </row>
    <row r="170" spans="10:20" x14ac:dyDescent="0.25">
      <c r="J170" s="70"/>
      <c r="K170" s="70"/>
      <c r="L170" s="70"/>
      <c r="M170" s="70"/>
      <c r="N170" s="70"/>
      <c r="O170" s="70"/>
      <c r="P170" s="70"/>
      <c r="Q170" s="70"/>
      <c r="R170" s="70"/>
      <c r="S170" s="70"/>
      <c r="T170" s="70"/>
    </row>
    <row r="171" spans="10:20" x14ac:dyDescent="0.25">
      <c r="J171" s="70"/>
      <c r="K171" s="70"/>
      <c r="L171" s="70"/>
      <c r="M171" s="70"/>
      <c r="N171" s="70"/>
      <c r="O171" s="70"/>
      <c r="P171" s="70"/>
      <c r="Q171" s="70"/>
      <c r="R171" s="70"/>
      <c r="S171" s="70"/>
      <c r="T171" s="70"/>
    </row>
    <row r="172" spans="10:20" x14ac:dyDescent="0.25">
      <c r="J172" s="70"/>
      <c r="K172" s="70"/>
      <c r="L172" s="70"/>
      <c r="M172" s="70"/>
      <c r="N172" s="70"/>
      <c r="O172" s="70"/>
      <c r="P172" s="70"/>
      <c r="Q172" s="70"/>
      <c r="R172" s="70"/>
      <c r="S172" s="70"/>
      <c r="T172" s="70"/>
    </row>
    <row r="173" spans="10:20" x14ac:dyDescent="0.25">
      <c r="J173" s="70"/>
      <c r="K173" s="70"/>
      <c r="L173" s="70"/>
      <c r="M173" s="70"/>
      <c r="N173" s="70"/>
      <c r="O173" s="70"/>
      <c r="P173" s="70"/>
      <c r="Q173" s="70"/>
      <c r="R173" s="70"/>
      <c r="S173" s="70"/>
      <c r="T173" s="70"/>
    </row>
    <row r="174" spans="10:20" x14ac:dyDescent="0.25">
      <c r="J174" s="70"/>
      <c r="K174" s="70"/>
      <c r="L174" s="70"/>
      <c r="M174" s="70"/>
      <c r="N174" s="70"/>
      <c r="O174" s="70"/>
      <c r="P174" s="70"/>
      <c r="Q174" s="70"/>
      <c r="R174" s="70"/>
      <c r="S174" s="70"/>
      <c r="T174" s="70"/>
    </row>
    <row r="175" spans="10:20" x14ac:dyDescent="0.25">
      <c r="J175" s="70"/>
      <c r="K175" s="70"/>
      <c r="L175" s="70"/>
      <c r="M175" s="70"/>
      <c r="N175" s="70"/>
      <c r="O175" s="70"/>
      <c r="P175" s="70"/>
      <c r="Q175" s="70"/>
      <c r="R175" s="70"/>
      <c r="S175" s="70"/>
      <c r="T175" s="70"/>
    </row>
    <row r="176" spans="10:20" x14ac:dyDescent="0.25">
      <c r="J176" s="70"/>
      <c r="K176" s="70"/>
      <c r="L176" s="70"/>
      <c r="M176" s="70"/>
      <c r="N176" s="70"/>
      <c r="O176" s="70"/>
      <c r="P176" s="70"/>
      <c r="Q176" s="70"/>
      <c r="R176" s="70"/>
      <c r="S176" s="70"/>
      <c r="T176" s="70"/>
    </row>
    <row r="177" spans="10:20" x14ac:dyDescent="0.25">
      <c r="J177" s="70"/>
      <c r="K177" s="70"/>
      <c r="L177" s="70"/>
      <c r="M177" s="70"/>
      <c r="N177" s="70"/>
      <c r="O177" s="70"/>
      <c r="P177" s="70"/>
      <c r="Q177" s="70"/>
      <c r="R177" s="70"/>
      <c r="S177" s="70"/>
      <c r="T177" s="70"/>
    </row>
    <row r="178" spans="10:20" x14ac:dyDescent="0.25">
      <c r="J178" s="70"/>
      <c r="K178" s="70"/>
      <c r="L178" s="70"/>
      <c r="M178" s="70"/>
      <c r="N178" s="70"/>
      <c r="O178" s="70"/>
      <c r="P178" s="70"/>
      <c r="Q178" s="70"/>
      <c r="R178" s="70"/>
      <c r="S178" s="70"/>
      <c r="T178" s="70"/>
    </row>
    <row r="179" spans="10:20" x14ac:dyDescent="0.25">
      <c r="J179" s="70"/>
      <c r="K179" s="70"/>
      <c r="L179" s="70"/>
      <c r="M179" s="70"/>
      <c r="N179" s="70"/>
      <c r="O179" s="70"/>
      <c r="P179" s="70"/>
      <c r="Q179" s="70"/>
      <c r="R179" s="70"/>
      <c r="S179" s="70"/>
      <c r="T179" s="70"/>
    </row>
    <row r="180" spans="10:20" x14ac:dyDescent="0.25">
      <c r="J180" s="70"/>
      <c r="K180" s="70"/>
      <c r="L180" s="70"/>
      <c r="M180" s="70"/>
      <c r="N180" s="70"/>
      <c r="O180" s="70"/>
      <c r="P180" s="70"/>
      <c r="Q180" s="70"/>
      <c r="R180" s="70"/>
      <c r="S180" s="70"/>
      <c r="T180" s="70"/>
    </row>
    <row r="181" spans="10:20" x14ac:dyDescent="0.25">
      <c r="J181" s="70"/>
      <c r="K181" s="70"/>
      <c r="L181" s="70"/>
      <c r="M181" s="70"/>
      <c r="N181" s="70"/>
      <c r="O181" s="70"/>
      <c r="P181" s="70"/>
      <c r="Q181" s="70"/>
      <c r="R181" s="70"/>
      <c r="S181" s="70"/>
      <c r="T181" s="70"/>
    </row>
    <row r="182" spans="10:20" x14ac:dyDescent="0.25">
      <c r="J182" s="70"/>
      <c r="K182" s="70"/>
      <c r="L182" s="70"/>
      <c r="M182" s="70"/>
      <c r="N182" s="70"/>
      <c r="O182" s="70"/>
      <c r="P182" s="70"/>
      <c r="Q182" s="70"/>
      <c r="R182" s="70"/>
      <c r="S182" s="70"/>
      <c r="T182" s="70"/>
    </row>
    <row r="183" spans="10:20" x14ac:dyDescent="0.25">
      <c r="J183" s="70"/>
      <c r="K183" s="70"/>
      <c r="L183" s="70"/>
      <c r="M183" s="70"/>
      <c r="N183" s="70"/>
      <c r="O183" s="70"/>
      <c r="P183" s="70"/>
      <c r="Q183" s="70"/>
      <c r="R183" s="70"/>
      <c r="S183" s="70"/>
      <c r="T183" s="70"/>
    </row>
    <row r="184" spans="10:20" x14ac:dyDescent="0.25">
      <c r="J184" s="70"/>
      <c r="K184" s="70"/>
      <c r="L184" s="70"/>
      <c r="M184" s="70"/>
      <c r="N184" s="70"/>
      <c r="O184" s="70"/>
      <c r="P184" s="70"/>
      <c r="Q184" s="70"/>
      <c r="R184" s="70"/>
      <c r="S184" s="70"/>
      <c r="T184" s="70"/>
    </row>
    <row r="185" spans="10:20" x14ac:dyDescent="0.25">
      <c r="J185" s="70"/>
      <c r="K185" s="70"/>
      <c r="L185" s="70"/>
      <c r="M185" s="70"/>
      <c r="N185" s="70"/>
      <c r="O185" s="70"/>
      <c r="P185" s="70"/>
      <c r="Q185" s="70"/>
      <c r="R185" s="70"/>
      <c r="S185" s="70"/>
      <c r="T185" s="70"/>
    </row>
    <row r="186" spans="10:20" x14ac:dyDescent="0.25">
      <c r="J186" s="70"/>
      <c r="K186" s="70"/>
      <c r="L186" s="70"/>
      <c r="M186" s="70"/>
      <c r="N186" s="70"/>
      <c r="O186" s="70"/>
      <c r="P186" s="70"/>
      <c r="Q186" s="70"/>
      <c r="R186" s="70"/>
      <c r="S186" s="70"/>
      <c r="T186" s="70"/>
    </row>
    <row r="187" spans="10:20" x14ac:dyDescent="0.25">
      <c r="J187" s="70"/>
      <c r="K187" s="70"/>
      <c r="L187" s="70"/>
      <c r="M187" s="70"/>
      <c r="N187" s="70"/>
      <c r="O187" s="70"/>
      <c r="P187" s="70"/>
      <c r="Q187" s="70"/>
      <c r="R187" s="70"/>
      <c r="S187" s="70"/>
      <c r="T187" s="70"/>
    </row>
    <row r="188" spans="10:20" x14ac:dyDescent="0.25">
      <c r="J188" s="70"/>
      <c r="K188" s="70"/>
      <c r="L188" s="70"/>
      <c r="M188" s="70"/>
      <c r="N188" s="70"/>
      <c r="O188" s="70"/>
      <c r="P188" s="70"/>
      <c r="Q188" s="70"/>
      <c r="R188" s="70"/>
      <c r="S188" s="70"/>
      <c r="T188" s="70"/>
    </row>
    <row r="189" spans="10:20" x14ac:dyDescent="0.25">
      <c r="J189" s="70"/>
      <c r="K189" s="70"/>
      <c r="L189" s="70"/>
      <c r="M189" s="70"/>
      <c r="N189" s="70"/>
      <c r="O189" s="70"/>
      <c r="P189" s="70"/>
      <c r="Q189" s="70"/>
      <c r="R189" s="70"/>
      <c r="S189" s="70"/>
      <c r="T189" s="70"/>
    </row>
    <row r="190" spans="10:20" x14ac:dyDescent="0.25">
      <c r="J190" s="70"/>
      <c r="K190" s="70"/>
      <c r="L190" s="70"/>
      <c r="M190" s="70"/>
      <c r="N190" s="70"/>
      <c r="O190" s="70"/>
      <c r="P190" s="70"/>
      <c r="Q190" s="70"/>
      <c r="R190" s="70"/>
      <c r="S190" s="70"/>
      <c r="T190" s="70"/>
    </row>
    <row r="191" spans="10:20" x14ac:dyDescent="0.25">
      <c r="J191" s="70"/>
      <c r="K191" s="70"/>
      <c r="L191" s="70"/>
      <c r="M191" s="70"/>
      <c r="N191" s="70"/>
      <c r="O191" s="70"/>
      <c r="P191" s="70"/>
      <c r="Q191" s="70"/>
      <c r="R191" s="70"/>
      <c r="S191" s="70"/>
      <c r="T191" s="70"/>
    </row>
    <row r="192" spans="10:20" x14ac:dyDescent="0.25">
      <c r="J192" s="70"/>
      <c r="K192" s="70"/>
      <c r="L192" s="70"/>
      <c r="M192" s="70"/>
      <c r="N192" s="70"/>
      <c r="O192" s="70"/>
      <c r="P192" s="70"/>
      <c r="Q192" s="70"/>
      <c r="R192" s="70"/>
      <c r="S192" s="70"/>
      <c r="T192" s="70"/>
    </row>
    <row r="193" spans="10:20" x14ac:dyDescent="0.25">
      <c r="J193" s="70"/>
      <c r="K193" s="70"/>
      <c r="L193" s="70"/>
      <c r="M193" s="70"/>
      <c r="N193" s="70"/>
      <c r="O193" s="70"/>
      <c r="P193" s="70"/>
      <c r="Q193" s="70"/>
      <c r="R193" s="70"/>
      <c r="S193" s="70"/>
      <c r="T193" s="70"/>
    </row>
    <row r="194" spans="10:20" x14ac:dyDescent="0.25">
      <c r="J194" s="70"/>
      <c r="K194" s="70"/>
      <c r="L194" s="70"/>
      <c r="M194" s="70"/>
      <c r="N194" s="70"/>
      <c r="O194" s="70"/>
      <c r="P194" s="70"/>
      <c r="Q194" s="70"/>
      <c r="R194" s="70"/>
      <c r="S194" s="70"/>
      <c r="T194" s="70"/>
    </row>
    <row r="195" spans="10:20" x14ac:dyDescent="0.25">
      <c r="J195" s="70"/>
      <c r="K195" s="70"/>
      <c r="L195" s="70"/>
      <c r="M195" s="70"/>
      <c r="N195" s="70"/>
      <c r="O195" s="70"/>
      <c r="P195" s="70"/>
      <c r="Q195" s="70"/>
      <c r="R195" s="70"/>
      <c r="S195" s="70"/>
      <c r="T195" s="70"/>
    </row>
    <row r="196" spans="10:20" x14ac:dyDescent="0.25">
      <c r="J196" s="70"/>
      <c r="K196" s="70"/>
      <c r="L196" s="70"/>
      <c r="M196" s="70"/>
      <c r="N196" s="70"/>
      <c r="O196" s="70"/>
      <c r="P196" s="70"/>
      <c r="Q196" s="70"/>
      <c r="R196" s="70"/>
      <c r="S196" s="70"/>
      <c r="T196" s="70"/>
    </row>
    <row r="197" spans="10:20" x14ac:dyDescent="0.25">
      <c r="J197" s="70"/>
      <c r="K197" s="70"/>
      <c r="L197" s="70"/>
      <c r="M197" s="70"/>
      <c r="N197" s="70"/>
      <c r="O197" s="70"/>
      <c r="P197" s="70"/>
      <c r="Q197" s="70"/>
      <c r="R197" s="70"/>
      <c r="S197" s="70"/>
      <c r="T197" s="70"/>
    </row>
    <row r="198" spans="10:20" x14ac:dyDescent="0.25">
      <c r="J198" s="70"/>
      <c r="K198" s="70"/>
      <c r="L198" s="70"/>
      <c r="M198" s="70"/>
      <c r="N198" s="70"/>
      <c r="O198" s="70"/>
      <c r="P198" s="70"/>
      <c r="Q198" s="70"/>
      <c r="R198" s="70"/>
      <c r="S198" s="70"/>
      <c r="T198" s="70"/>
    </row>
    <row r="199" spans="10:20" x14ac:dyDescent="0.25">
      <c r="J199" s="70"/>
      <c r="K199" s="70"/>
      <c r="L199" s="70"/>
      <c r="M199" s="70"/>
      <c r="N199" s="70"/>
      <c r="O199" s="70"/>
      <c r="P199" s="70"/>
      <c r="Q199" s="70"/>
      <c r="R199" s="70"/>
      <c r="S199" s="70"/>
      <c r="T199" s="70"/>
    </row>
    <row r="200" spans="10:20" x14ac:dyDescent="0.25">
      <c r="J200" s="70"/>
      <c r="K200" s="70"/>
      <c r="L200" s="70"/>
      <c r="M200" s="70"/>
      <c r="N200" s="70"/>
      <c r="O200" s="70"/>
      <c r="P200" s="70"/>
      <c r="Q200" s="70"/>
      <c r="R200" s="70"/>
      <c r="S200" s="70"/>
      <c r="T200" s="70"/>
    </row>
    <row r="201" spans="10:20" x14ac:dyDescent="0.25">
      <c r="J201" s="70"/>
      <c r="K201" s="70"/>
      <c r="L201" s="70"/>
      <c r="M201" s="70"/>
      <c r="N201" s="70"/>
      <c r="O201" s="70"/>
      <c r="P201" s="70"/>
      <c r="Q201" s="70"/>
      <c r="R201" s="70"/>
      <c r="S201" s="70"/>
      <c r="T201" s="70"/>
    </row>
    <row r="202" spans="10:20" x14ac:dyDescent="0.25">
      <c r="J202" s="70"/>
      <c r="K202" s="70"/>
      <c r="L202" s="70"/>
      <c r="M202" s="70"/>
      <c r="N202" s="70"/>
      <c r="O202" s="70"/>
      <c r="P202" s="70"/>
      <c r="Q202" s="70"/>
      <c r="R202" s="70"/>
      <c r="S202" s="70"/>
      <c r="T202" s="70"/>
    </row>
    <row r="203" spans="10:20" x14ac:dyDescent="0.25">
      <c r="J203" s="70"/>
      <c r="K203" s="70"/>
      <c r="L203" s="70"/>
      <c r="M203" s="70"/>
      <c r="N203" s="70"/>
      <c r="O203" s="70"/>
      <c r="P203" s="70"/>
      <c r="Q203" s="70"/>
      <c r="R203" s="70"/>
      <c r="S203" s="70"/>
      <c r="T203" s="70"/>
    </row>
    <row r="204" spans="10:20" x14ac:dyDescent="0.25">
      <c r="J204" s="70"/>
      <c r="K204" s="70"/>
      <c r="L204" s="70"/>
      <c r="M204" s="70"/>
      <c r="N204" s="70"/>
      <c r="O204" s="70"/>
      <c r="P204" s="70"/>
      <c r="Q204" s="70"/>
      <c r="R204" s="70"/>
      <c r="S204" s="70"/>
      <c r="T204" s="70"/>
    </row>
    <row r="205" spans="10:20" x14ac:dyDescent="0.25">
      <c r="J205" s="70"/>
      <c r="K205" s="70"/>
      <c r="L205" s="70"/>
      <c r="M205" s="70"/>
      <c r="N205" s="70"/>
      <c r="O205" s="70"/>
      <c r="P205" s="70"/>
      <c r="Q205" s="70"/>
      <c r="R205" s="70"/>
      <c r="S205" s="70"/>
      <c r="T205" s="70"/>
    </row>
    <row r="206" spans="10:20" x14ac:dyDescent="0.25">
      <c r="J206" s="70"/>
      <c r="K206" s="70"/>
      <c r="L206" s="70"/>
      <c r="M206" s="70"/>
      <c r="N206" s="70"/>
      <c r="O206" s="70"/>
      <c r="P206" s="70"/>
      <c r="Q206" s="70"/>
      <c r="R206" s="70"/>
      <c r="S206" s="70"/>
      <c r="T206" s="70"/>
    </row>
    <row r="207" spans="10:20" x14ac:dyDescent="0.25">
      <c r="J207" s="70"/>
      <c r="K207" s="70"/>
      <c r="L207" s="70"/>
      <c r="M207" s="70"/>
      <c r="N207" s="70"/>
      <c r="O207" s="70"/>
      <c r="P207" s="70"/>
      <c r="Q207" s="70"/>
      <c r="R207" s="70"/>
      <c r="S207" s="70"/>
      <c r="T207" s="70"/>
    </row>
    <row r="208" spans="10:20" x14ac:dyDescent="0.25">
      <c r="J208" s="70"/>
      <c r="K208" s="70"/>
      <c r="L208" s="70"/>
      <c r="M208" s="70"/>
      <c r="N208" s="70"/>
      <c r="O208" s="70"/>
      <c r="P208" s="70"/>
      <c r="Q208" s="70"/>
      <c r="R208" s="70"/>
      <c r="S208" s="70"/>
      <c r="T208" s="70"/>
    </row>
    <row r="209" spans="10:20" x14ac:dyDescent="0.25">
      <c r="J209" s="70"/>
      <c r="K209" s="70"/>
      <c r="L209" s="70"/>
      <c r="M209" s="70"/>
      <c r="N209" s="70"/>
      <c r="O209" s="70"/>
      <c r="P209" s="70"/>
      <c r="Q209" s="70"/>
      <c r="R209" s="70"/>
      <c r="S209" s="70"/>
      <c r="T209" s="70"/>
    </row>
    <row r="210" spans="10:20" x14ac:dyDescent="0.25">
      <c r="J210" s="70"/>
      <c r="K210" s="70"/>
      <c r="L210" s="70"/>
      <c r="M210" s="70"/>
      <c r="N210" s="70"/>
      <c r="O210" s="70"/>
      <c r="P210" s="70"/>
      <c r="Q210" s="70"/>
      <c r="R210" s="70"/>
      <c r="S210" s="70"/>
      <c r="T210" s="70"/>
    </row>
    <row r="211" spans="10:20" x14ac:dyDescent="0.25">
      <c r="J211" s="70"/>
      <c r="K211" s="70"/>
      <c r="L211" s="70"/>
      <c r="M211" s="70"/>
      <c r="N211" s="70"/>
      <c r="O211" s="70"/>
      <c r="P211" s="70"/>
      <c r="Q211" s="70"/>
      <c r="R211" s="70"/>
      <c r="S211" s="70"/>
      <c r="T211" s="70"/>
    </row>
    <row r="212" spans="10:20" x14ac:dyDescent="0.25">
      <c r="J212" s="70"/>
      <c r="K212" s="70"/>
      <c r="L212" s="70"/>
      <c r="M212" s="70"/>
      <c r="N212" s="70"/>
      <c r="O212" s="70"/>
      <c r="P212" s="70"/>
      <c r="Q212" s="70"/>
      <c r="R212" s="70"/>
      <c r="S212" s="70"/>
      <c r="T212" s="70"/>
    </row>
    <row r="213" spans="10:20" x14ac:dyDescent="0.25">
      <c r="J213" s="70"/>
      <c r="K213" s="70"/>
      <c r="L213" s="70"/>
      <c r="M213" s="70"/>
      <c r="N213" s="70"/>
      <c r="O213" s="70"/>
      <c r="P213" s="70"/>
      <c r="Q213" s="70"/>
      <c r="R213" s="70"/>
      <c r="S213" s="70"/>
      <c r="T213" s="70"/>
    </row>
    <row r="214" spans="10:20" x14ac:dyDescent="0.25">
      <c r="J214" s="70"/>
      <c r="K214" s="70"/>
      <c r="L214" s="70"/>
      <c r="M214" s="70"/>
      <c r="N214" s="70"/>
      <c r="O214" s="70"/>
      <c r="P214" s="70"/>
      <c r="Q214" s="70"/>
      <c r="R214" s="70"/>
      <c r="S214" s="70"/>
      <c r="T214" s="70"/>
    </row>
    <row r="215" spans="10:20" x14ac:dyDescent="0.25">
      <c r="J215" s="70"/>
      <c r="K215" s="70"/>
      <c r="L215" s="70"/>
      <c r="M215" s="70"/>
      <c r="N215" s="70"/>
      <c r="O215" s="70"/>
      <c r="P215" s="70"/>
      <c r="Q215" s="70"/>
      <c r="R215" s="70"/>
      <c r="S215" s="70"/>
      <c r="T215" s="70"/>
    </row>
    <row r="216" spans="10:20" x14ac:dyDescent="0.25">
      <c r="J216" s="70"/>
      <c r="K216" s="70"/>
      <c r="L216" s="70"/>
      <c r="M216" s="70"/>
      <c r="N216" s="70"/>
      <c r="O216" s="70"/>
      <c r="P216" s="70"/>
      <c r="Q216" s="70"/>
      <c r="R216" s="70"/>
      <c r="S216" s="70"/>
      <c r="T216" s="70"/>
    </row>
    <row r="217" spans="10:20" x14ac:dyDescent="0.25">
      <c r="J217" s="70"/>
      <c r="K217" s="70"/>
      <c r="L217" s="70"/>
      <c r="M217" s="70"/>
      <c r="N217" s="70"/>
      <c r="O217" s="70"/>
      <c r="P217" s="70"/>
      <c r="Q217" s="70"/>
      <c r="R217" s="70"/>
      <c r="S217" s="70"/>
      <c r="T217" s="70"/>
    </row>
    <row r="218" spans="10:20" x14ac:dyDescent="0.25">
      <c r="J218" s="70"/>
      <c r="K218" s="70"/>
      <c r="L218" s="70"/>
      <c r="M218" s="70"/>
      <c r="N218" s="70"/>
      <c r="O218" s="70"/>
      <c r="P218" s="70"/>
      <c r="Q218" s="70"/>
      <c r="R218" s="70"/>
      <c r="S218" s="70"/>
      <c r="T218" s="70"/>
    </row>
    <row r="219" spans="10:20" x14ac:dyDescent="0.25">
      <c r="J219" s="70"/>
      <c r="K219" s="70"/>
      <c r="L219" s="70"/>
      <c r="M219" s="70"/>
      <c r="N219" s="70"/>
      <c r="O219" s="70"/>
      <c r="P219" s="70"/>
      <c r="Q219" s="70"/>
      <c r="R219" s="70"/>
      <c r="S219" s="70"/>
      <c r="T219" s="70"/>
    </row>
    <row r="220" spans="10:20" x14ac:dyDescent="0.25">
      <c r="J220" s="70"/>
      <c r="K220" s="70"/>
      <c r="L220" s="70"/>
      <c r="M220" s="70"/>
      <c r="N220" s="70"/>
      <c r="O220" s="70"/>
      <c r="P220" s="70"/>
      <c r="Q220" s="70"/>
      <c r="R220" s="70"/>
      <c r="S220" s="70"/>
      <c r="T220" s="70"/>
    </row>
    <row r="221" spans="10:20" x14ac:dyDescent="0.25">
      <c r="J221" s="70"/>
      <c r="K221" s="70"/>
      <c r="L221" s="70"/>
      <c r="M221" s="70"/>
      <c r="N221" s="70"/>
      <c r="O221" s="70"/>
      <c r="P221" s="70"/>
      <c r="Q221" s="70"/>
      <c r="R221" s="70"/>
      <c r="S221" s="70"/>
      <c r="T221" s="70"/>
    </row>
    <row r="222" spans="10:20" x14ac:dyDescent="0.25">
      <c r="J222" s="70"/>
      <c r="K222" s="70"/>
      <c r="L222" s="70"/>
      <c r="M222" s="70"/>
      <c r="N222" s="70"/>
      <c r="O222" s="70"/>
      <c r="P222" s="70"/>
      <c r="Q222" s="70"/>
      <c r="R222" s="70"/>
      <c r="S222" s="70"/>
      <c r="T222" s="70"/>
    </row>
    <row r="223" spans="10:20" x14ac:dyDescent="0.25">
      <c r="J223" s="70"/>
      <c r="K223" s="70"/>
      <c r="L223" s="70"/>
      <c r="M223" s="70"/>
      <c r="N223" s="70"/>
      <c r="O223" s="70"/>
      <c r="P223" s="70"/>
      <c r="Q223" s="70"/>
      <c r="R223" s="70"/>
      <c r="S223" s="70"/>
      <c r="T223" s="70"/>
    </row>
    <row r="224" spans="10:20" x14ac:dyDescent="0.25">
      <c r="J224" s="70"/>
      <c r="K224" s="70"/>
      <c r="L224" s="70"/>
      <c r="M224" s="70"/>
      <c r="N224" s="70"/>
      <c r="O224" s="70"/>
      <c r="P224" s="70"/>
      <c r="Q224" s="70"/>
      <c r="R224" s="70"/>
      <c r="S224" s="70"/>
      <c r="T224" s="70"/>
    </row>
    <row r="225" spans="10:20" x14ac:dyDescent="0.25">
      <c r="J225" s="70"/>
      <c r="K225" s="70"/>
      <c r="L225" s="70"/>
      <c r="M225" s="70"/>
      <c r="N225" s="70"/>
      <c r="O225" s="70"/>
      <c r="P225" s="70"/>
      <c r="Q225" s="70"/>
      <c r="R225" s="70"/>
      <c r="S225" s="70"/>
      <c r="T225" s="70"/>
    </row>
    <row r="226" spans="10:20" x14ac:dyDescent="0.25">
      <c r="J226" s="70"/>
      <c r="K226" s="70"/>
      <c r="L226" s="70"/>
      <c r="M226" s="70"/>
      <c r="N226" s="70"/>
      <c r="O226" s="70"/>
      <c r="P226" s="70"/>
      <c r="Q226" s="70"/>
      <c r="R226" s="70"/>
      <c r="S226" s="70"/>
      <c r="T226" s="70"/>
    </row>
    <row r="227" spans="10:20" x14ac:dyDescent="0.25">
      <c r="J227" s="70"/>
      <c r="K227" s="70"/>
      <c r="L227" s="70"/>
      <c r="M227" s="70"/>
      <c r="N227" s="70"/>
      <c r="O227" s="70"/>
      <c r="P227" s="70"/>
      <c r="Q227" s="70"/>
      <c r="R227" s="70"/>
      <c r="S227" s="70"/>
      <c r="T227" s="70"/>
    </row>
    <row r="228" spans="10:20" x14ac:dyDescent="0.25">
      <c r="J228" s="70"/>
      <c r="K228" s="70"/>
      <c r="L228" s="70"/>
      <c r="M228" s="70"/>
      <c r="N228" s="70"/>
      <c r="O228" s="70"/>
      <c r="P228" s="70"/>
      <c r="Q228" s="70"/>
      <c r="R228" s="70"/>
      <c r="S228" s="70"/>
      <c r="T228" s="70"/>
    </row>
    <row r="229" spans="10:20" x14ac:dyDescent="0.25">
      <c r="J229" s="70"/>
      <c r="K229" s="70"/>
      <c r="L229" s="70"/>
      <c r="M229" s="70"/>
      <c r="N229" s="70"/>
      <c r="O229" s="70"/>
      <c r="P229" s="70"/>
      <c r="Q229" s="70"/>
      <c r="R229" s="70"/>
      <c r="S229" s="70"/>
      <c r="T229" s="70"/>
    </row>
    <row r="230" spans="10:20" x14ac:dyDescent="0.25">
      <c r="J230" s="70"/>
      <c r="K230" s="70"/>
      <c r="L230" s="70"/>
      <c r="M230" s="70"/>
      <c r="N230" s="70"/>
      <c r="O230" s="70"/>
      <c r="P230" s="70"/>
      <c r="Q230" s="70"/>
      <c r="R230" s="70"/>
      <c r="S230" s="70"/>
      <c r="T230" s="70"/>
    </row>
    <row r="231" spans="10:20" x14ac:dyDescent="0.25">
      <c r="J231" s="70"/>
      <c r="K231" s="70"/>
      <c r="L231" s="70"/>
      <c r="M231" s="70"/>
      <c r="N231" s="70"/>
      <c r="O231" s="70"/>
      <c r="P231" s="70"/>
      <c r="Q231" s="70"/>
      <c r="R231" s="70"/>
      <c r="S231" s="70"/>
      <c r="T231" s="70"/>
    </row>
    <row r="232" spans="10:20" x14ac:dyDescent="0.25">
      <c r="J232" s="70"/>
      <c r="K232" s="70"/>
      <c r="L232" s="70"/>
      <c r="M232" s="70"/>
      <c r="N232" s="70"/>
      <c r="O232" s="70"/>
      <c r="P232" s="70"/>
      <c r="Q232" s="70"/>
      <c r="R232" s="70"/>
      <c r="S232" s="70"/>
      <c r="T232" s="70"/>
    </row>
    <row r="233" spans="10:20" x14ac:dyDescent="0.25">
      <c r="J233" s="70"/>
      <c r="K233" s="70"/>
      <c r="L233" s="70"/>
      <c r="M233" s="70"/>
      <c r="N233" s="70"/>
      <c r="O233" s="70"/>
      <c r="P233" s="70"/>
      <c r="Q233" s="70"/>
      <c r="R233" s="70"/>
      <c r="S233" s="70"/>
      <c r="T233" s="70"/>
    </row>
    <row r="234" spans="10:20" x14ac:dyDescent="0.25">
      <c r="J234" s="70"/>
      <c r="K234" s="70"/>
      <c r="L234" s="70"/>
      <c r="M234" s="70"/>
      <c r="N234" s="70"/>
      <c r="O234" s="70"/>
      <c r="P234" s="70"/>
      <c r="Q234" s="70"/>
      <c r="R234" s="70"/>
      <c r="S234" s="70"/>
      <c r="T234" s="70"/>
    </row>
    <row r="235" spans="10:20" x14ac:dyDescent="0.25">
      <c r="J235" s="70"/>
      <c r="K235" s="70"/>
      <c r="L235" s="70"/>
      <c r="M235" s="70"/>
      <c r="N235" s="70"/>
      <c r="O235" s="70"/>
      <c r="P235" s="70"/>
      <c r="Q235" s="70"/>
      <c r="R235" s="70"/>
      <c r="S235" s="70"/>
      <c r="T235" s="70"/>
    </row>
    <row r="236" spans="10:20" x14ac:dyDescent="0.25">
      <c r="J236" s="70"/>
      <c r="K236" s="70"/>
      <c r="L236" s="70"/>
      <c r="M236" s="70"/>
      <c r="N236" s="70"/>
      <c r="O236" s="70"/>
      <c r="P236" s="70"/>
      <c r="Q236" s="70"/>
      <c r="R236" s="70"/>
      <c r="S236" s="70"/>
      <c r="T236" s="70"/>
    </row>
    <row r="237" spans="10:20" x14ac:dyDescent="0.25">
      <c r="J237" s="70"/>
      <c r="K237" s="70"/>
      <c r="L237" s="70"/>
      <c r="M237" s="70"/>
      <c r="N237" s="70"/>
      <c r="O237" s="70"/>
      <c r="P237" s="70"/>
      <c r="Q237" s="70"/>
      <c r="R237" s="70"/>
      <c r="S237" s="70"/>
      <c r="T237" s="70"/>
    </row>
    <row r="238" spans="10:20" x14ac:dyDescent="0.25">
      <c r="J238" s="70"/>
      <c r="K238" s="70"/>
      <c r="L238" s="70"/>
      <c r="M238" s="70"/>
      <c r="N238" s="70"/>
      <c r="O238" s="70"/>
      <c r="P238" s="70"/>
      <c r="Q238" s="70"/>
      <c r="R238" s="70"/>
      <c r="S238" s="70"/>
      <c r="T238" s="70"/>
    </row>
    <row r="239" spans="10:20" x14ac:dyDescent="0.25">
      <c r="J239" s="70"/>
      <c r="K239" s="70"/>
      <c r="L239" s="70"/>
      <c r="M239" s="70"/>
      <c r="N239" s="70"/>
      <c r="O239" s="70"/>
      <c r="P239" s="70"/>
      <c r="Q239" s="70"/>
      <c r="R239" s="70"/>
      <c r="S239" s="70"/>
      <c r="T239" s="70"/>
    </row>
    <row r="240" spans="10:20" x14ac:dyDescent="0.25">
      <c r="J240" s="70"/>
      <c r="K240" s="70"/>
      <c r="L240" s="70"/>
      <c r="M240" s="70"/>
      <c r="N240" s="70"/>
      <c r="O240" s="70"/>
      <c r="P240" s="70"/>
      <c r="Q240" s="70"/>
      <c r="R240" s="70"/>
      <c r="S240" s="70"/>
      <c r="T240" s="70"/>
    </row>
    <row r="241" spans="10:20" x14ac:dyDescent="0.25">
      <c r="J241" s="70"/>
      <c r="K241" s="70"/>
      <c r="L241" s="70"/>
      <c r="M241" s="70"/>
      <c r="N241" s="70"/>
      <c r="O241" s="70"/>
      <c r="P241" s="70"/>
      <c r="Q241" s="70"/>
      <c r="R241" s="70"/>
      <c r="S241" s="70"/>
      <c r="T241" s="70"/>
    </row>
    <row r="242" spans="10:20" x14ac:dyDescent="0.25">
      <c r="J242" s="70"/>
      <c r="K242" s="70"/>
      <c r="L242" s="70"/>
      <c r="M242" s="70"/>
      <c r="N242" s="70"/>
      <c r="O242" s="70"/>
      <c r="P242" s="70"/>
      <c r="Q242" s="70"/>
      <c r="R242" s="70"/>
      <c r="S242" s="70"/>
      <c r="T242" s="70"/>
    </row>
    <row r="243" spans="10:20" x14ac:dyDescent="0.25">
      <c r="J243" s="70"/>
      <c r="K243" s="70"/>
      <c r="L243" s="70"/>
      <c r="M243" s="70"/>
      <c r="N243" s="70"/>
      <c r="O243" s="70"/>
      <c r="P243" s="70"/>
      <c r="Q243" s="70"/>
      <c r="R243" s="70"/>
      <c r="S243" s="70"/>
      <c r="T243" s="70"/>
    </row>
    <row r="244" spans="10:20" x14ac:dyDescent="0.25">
      <c r="J244" s="70"/>
      <c r="K244" s="70"/>
      <c r="L244" s="70"/>
      <c r="M244" s="70"/>
      <c r="N244" s="70"/>
      <c r="O244" s="70"/>
      <c r="P244" s="70"/>
      <c r="Q244" s="70"/>
      <c r="R244" s="70"/>
      <c r="S244" s="70"/>
      <c r="T244" s="70"/>
    </row>
    <row r="245" spans="10:20" x14ac:dyDescent="0.25">
      <c r="J245" s="70"/>
      <c r="K245" s="70"/>
      <c r="L245" s="70"/>
      <c r="M245" s="70"/>
      <c r="N245" s="70"/>
      <c r="O245" s="70"/>
      <c r="P245" s="70"/>
      <c r="Q245" s="70"/>
      <c r="R245" s="70"/>
      <c r="S245" s="70"/>
      <c r="T245" s="70"/>
    </row>
    <row r="246" spans="10:20" x14ac:dyDescent="0.25">
      <c r="J246" s="70"/>
      <c r="K246" s="70"/>
      <c r="L246" s="70"/>
      <c r="M246" s="70"/>
      <c r="N246" s="70"/>
      <c r="O246" s="70"/>
      <c r="P246" s="70"/>
      <c r="Q246" s="70"/>
      <c r="R246" s="70"/>
      <c r="S246" s="70"/>
      <c r="T246" s="70"/>
    </row>
    <row r="247" spans="10:20" x14ac:dyDescent="0.25">
      <c r="J247" s="70"/>
      <c r="K247" s="70"/>
      <c r="L247" s="70"/>
      <c r="M247" s="70"/>
      <c r="N247" s="70"/>
      <c r="O247" s="70"/>
      <c r="P247" s="70"/>
      <c r="Q247" s="70"/>
      <c r="R247" s="70"/>
      <c r="S247" s="70"/>
      <c r="T247" s="70"/>
    </row>
    <row r="248" spans="10:20" x14ac:dyDescent="0.25">
      <c r="J248" s="70"/>
      <c r="K248" s="70"/>
      <c r="L248" s="70"/>
      <c r="M248" s="70"/>
      <c r="N248" s="70"/>
      <c r="O248" s="70"/>
      <c r="P248" s="70"/>
      <c r="Q248" s="70"/>
      <c r="R248" s="70"/>
      <c r="S248" s="70"/>
      <c r="T248" s="70"/>
    </row>
    <row r="249" spans="10:20" x14ac:dyDescent="0.25">
      <c r="J249" s="70"/>
      <c r="K249" s="70"/>
      <c r="L249" s="70"/>
      <c r="M249" s="70"/>
      <c r="N249" s="70"/>
      <c r="O249" s="70"/>
      <c r="P249" s="70"/>
      <c r="Q249" s="70"/>
      <c r="R249" s="70"/>
      <c r="S249" s="70"/>
      <c r="T249" s="70"/>
    </row>
    <row r="250" spans="10:20" x14ac:dyDescent="0.25">
      <c r="J250" s="70"/>
      <c r="K250" s="70"/>
      <c r="L250" s="70"/>
      <c r="M250" s="70"/>
      <c r="N250" s="70"/>
      <c r="O250" s="70"/>
      <c r="P250" s="70"/>
      <c r="Q250" s="70"/>
      <c r="R250" s="70"/>
      <c r="S250" s="70"/>
      <c r="T250" s="70"/>
    </row>
    <row r="251" spans="10:20" x14ac:dyDescent="0.25">
      <c r="J251" s="70"/>
      <c r="K251" s="70"/>
      <c r="L251" s="70"/>
      <c r="M251" s="70"/>
      <c r="N251" s="70"/>
      <c r="O251" s="70"/>
      <c r="P251" s="70"/>
      <c r="Q251" s="70"/>
      <c r="R251" s="70"/>
      <c r="S251" s="70"/>
      <c r="T251" s="70"/>
    </row>
    <row r="252" spans="10:20" x14ac:dyDescent="0.25">
      <c r="J252" s="70"/>
      <c r="K252" s="70"/>
      <c r="L252" s="70"/>
      <c r="M252" s="70"/>
      <c r="N252" s="70"/>
      <c r="O252" s="70"/>
      <c r="P252" s="70"/>
      <c r="Q252" s="70"/>
      <c r="R252" s="70"/>
      <c r="S252" s="70"/>
      <c r="T252" s="70"/>
    </row>
    <row r="253" spans="10:20" x14ac:dyDescent="0.25">
      <c r="J253" s="70"/>
      <c r="K253" s="70"/>
      <c r="L253" s="70"/>
      <c r="M253" s="70"/>
      <c r="N253" s="70"/>
      <c r="O253" s="70"/>
      <c r="P253" s="70"/>
      <c r="Q253" s="70"/>
      <c r="R253" s="70"/>
      <c r="S253" s="70"/>
      <c r="T253" s="70"/>
    </row>
    <row r="254" spans="10:20" x14ac:dyDescent="0.25">
      <c r="J254" s="70"/>
      <c r="K254" s="70"/>
      <c r="L254" s="70"/>
      <c r="M254" s="70"/>
      <c r="N254" s="70"/>
      <c r="O254" s="70"/>
      <c r="P254" s="70"/>
      <c r="Q254" s="70"/>
      <c r="R254" s="70"/>
      <c r="S254" s="70"/>
      <c r="T254" s="70"/>
    </row>
    <row r="255" spans="10:20" x14ac:dyDescent="0.25">
      <c r="J255" s="70"/>
      <c r="K255" s="70"/>
      <c r="L255" s="70"/>
      <c r="M255" s="70"/>
      <c r="N255" s="70"/>
      <c r="O255" s="70"/>
      <c r="P255" s="70"/>
      <c r="Q255" s="70"/>
      <c r="R255" s="70"/>
      <c r="S255" s="70"/>
      <c r="T255" s="70"/>
    </row>
    <row r="256" spans="10:20" x14ac:dyDescent="0.25">
      <c r="J256" s="70"/>
      <c r="K256" s="70"/>
      <c r="L256" s="70"/>
      <c r="M256" s="70"/>
      <c r="N256" s="70"/>
      <c r="O256" s="70"/>
      <c r="P256" s="70"/>
      <c r="Q256" s="70"/>
      <c r="R256" s="70"/>
      <c r="S256" s="70"/>
      <c r="T256" s="70"/>
    </row>
    <row r="257" spans="10:20" x14ac:dyDescent="0.25">
      <c r="J257" s="70"/>
      <c r="K257" s="70"/>
      <c r="L257" s="70"/>
      <c r="M257" s="70"/>
      <c r="N257" s="70"/>
      <c r="O257" s="70"/>
      <c r="P257" s="70"/>
      <c r="Q257" s="70"/>
      <c r="R257" s="70"/>
      <c r="S257" s="70"/>
      <c r="T257" s="70"/>
    </row>
    <row r="258" spans="10:20" x14ac:dyDescent="0.25">
      <c r="J258" s="70"/>
      <c r="K258" s="70"/>
      <c r="L258" s="70"/>
      <c r="M258" s="70"/>
      <c r="N258" s="70"/>
      <c r="O258" s="70"/>
      <c r="P258" s="70"/>
      <c r="Q258" s="70"/>
      <c r="R258" s="70"/>
      <c r="S258" s="70"/>
      <c r="T258" s="70"/>
    </row>
    <row r="259" spans="10:20" x14ac:dyDescent="0.25">
      <c r="J259" s="70"/>
      <c r="K259" s="70"/>
      <c r="L259" s="70"/>
      <c r="M259" s="70"/>
      <c r="N259" s="70"/>
      <c r="O259" s="70"/>
      <c r="P259" s="70"/>
      <c r="Q259" s="70"/>
      <c r="R259" s="70"/>
      <c r="S259" s="70"/>
      <c r="T259" s="70"/>
    </row>
    <row r="260" spans="10:20" x14ac:dyDescent="0.25">
      <c r="J260" s="70"/>
      <c r="K260" s="70"/>
      <c r="L260" s="70"/>
      <c r="M260" s="70"/>
      <c r="N260" s="70"/>
      <c r="O260" s="70"/>
      <c r="P260" s="70"/>
      <c r="Q260" s="70"/>
      <c r="R260" s="70"/>
      <c r="S260" s="70"/>
      <c r="T260" s="70"/>
    </row>
    <row r="261" spans="10:20" x14ac:dyDescent="0.25">
      <c r="J261" s="70"/>
      <c r="K261" s="70"/>
      <c r="L261" s="70"/>
      <c r="M261" s="70"/>
      <c r="N261" s="70"/>
      <c r="O261" s="70"/>
      <c r="P261" s="70"/>
      <c r="Q261" s="70"/>
      <c r="R261" s="70"/>
      <c r="S261" s="70"/>
      <c r="T261" s="70"/>
    </row>
    <row r="262" spans="10:20" x14ac:dyDescent="0.25">
      <c r="J262" s="70"/>
      <c r="K262" s="70"/>
      <c r="L262" s="70"/>
      <c r="M262" s="70"/>
      <c r="N262" s="70"/>
      <c r="O262" s="70"/>
      <c r="P262" s="70"/>
      <c r="Q262" s="70"/>
      <c r="R262" s="70"/>
      <c r="S262" s="70"/>
      <c r="T262" s="70"/>
    </row>
    <row r="263" spans="10:20" x14ac:dyDescent="0.25">
      <c r="J263" s="70"/>
      <c r="K263" s="70"/>
      <c r="L263" s="70"/>
      <c r="M263" s="70"/>
      <c r="N263" s="70"/>
      <c r="O263" s="70"/>
      <c r="P263" s="70"/>
      <c r="Q263" s="70"/>
      <c r="R263" s="70"/>
      <c r="S263" s="70"/>
      <c r="T263" s="70"/>
    </row>
    <row r="264" spans="10:20" x14ac:dyDescent="0.25">
      <c r="J264" s="70"/>
      <c r="K264" s="70"/>
      <c r="L264" s="70"/>
      <c r="M264" s="70"/>
      <c r="N264" s="70"/>
      <c r="O264" s="70"/>
      <c r="P264" s="70"/>
      <c r="Q264" s="70"/>
      <c r="R264" s="70"/>
      <c r="S264" s="70"/>
      <c r="T264" s="70"/>
    </row>
    <row r="265" spans="10:20" x14ac:dyDescent="0.25">
      <c r="J265" s="70"/>
      <c r="K265" s="70"/>
      <c r="L265" s="70"/>
      <c r="M265" s="70"/>
      <c r="N265" s="70"/>
      <c r="O265" s="70"/>
      <c r="P265" s="70"/>
      <c r="Q265" s="70"/>
      <c r="R265" s="70"/>
      <c r="S265" s="70"/>
      <c r="T265" s="70"/>
    </row>
    <row r="266" spans="10:20" x14ac:dyDescent="0.25">
      <c r="J266" s="70"/>
      <c r="K266" s="70"/>
      <c r="L266" s="70"/>
      <c r="M266" s="70"/>
      <c r="N266" s="70"/>
      <c r="O266" s="70"/>
      <c r="P266" s="70"/>
      <c r="Q266" s="70"/>
      <c r="R266" s="70"/>
      <c r="S266" s="70"/>
      <c r="T266" s="70"/>
    </row>
    <row r="267" spans="10:20" x14ac:dyDescent="0.25">
      <c r="J267" s="70"/>
      <c r="K267" s="70"/>
      <c r="L267" s="70"/>
      <c r="M267" s="70"/>
      <c r="N267" s="70"/>
      <c r="O267" s="70"/>
      <c r="P267" s="70"/>
      <c r="Q267" s="70"/>
      <c r="R267" s="70"/>
      <c r="S267" s="70"/>
      <c r="T267" s="70"/>
    </row>
    <row r="268" spans="10:20" x14ac:dyDescent="0.25">
      <c r="J268" s="70"/>
      <c r="K268" s="70"/>
      <c r="L268" s="70"/>
      <c r="M268" s="70"/>
      <c r="N268" s="70"/>
      <c r="O268" s="70"/>
      <c r="P268" s="70"/>
      <c r="Q268" s="70"/>
      <c r="R268" s="70"/>
      <c r="S268" s="70"/>
      <c r="T268" s="70"/>
    </row>
    <row r="269" spans="10:20" x14ac:dyDescent="0.25">
      <c r="J269" s="70"/>
      <c r="K269" s="70"/>
      <c r="L269" s="70"/>
      <c r="M269" s="70"/>
      <c r="N269" s="70"/>
      <c r="O269" s="70"/>
      <c r="P269" s="70"/>
      <c r="Q269" s="70"/>
      <c r="R269" s="70"/>
      <c r="S269" s="70"/>
      <c r="T269" s="70"/>
    </row>
    <row r="270" spans="10:20" x14ac:dyDescent="0.25">
      <c r="J270" s="70"/>
      <c r="K270" s="70"/>
      <c r="L270" s="70"/>
      <c r="M270" s="70"/>
      <c r="N270" s="70"/>
      <c r="O270" s="70"/>
      <c r="P270" s="70"/>
      <c r="Q270" s="70"/>
      <c r="R270" s="70"/>
      <c r="S270" s="70"/>
      <c r="T270" s="70"/>
    </row>
    <row r="271" spans="10:20" x14ac:dyDescent="0.25">
      <c r="J271" s="70"/>
      <c r="K271" s="70"/>
      <c r="L271" s="70"/>
      <c r="M271" s="70"/>
      <c r="N271" s="70"/>
      <c r="O271" s="70"/>
      <c r="P271" s="70"/>
      <c r="Q271" s="70"/>
      <c r="R271" s="70"/>
      <c r="S271" s="70"/>
      <c r="T271" s="70"/>
    </row>
    <row r="272" spans="10:20" x14ac:dyDescent="0.25">
      <c r="J272" s="70"/>
      <c r="K272" s="70"/>
      <c r="L272" s="70"/>
      <c r="M272" s="70"/>
      <c r="N272" s="70"/>
      <c r="O272" s="70"/>
      <c r="P272" s="70"/>
      <c r="Q272" s="70"/>
      <c r="R272" s="70"/>
      <c r="S272" s="70"/>
      <c r="T272" s="70"/>
    </row>
    <row r="273" spans="10:20" x14ac:dyDescent="0.25">
      <c r="J273" s="70"/>
      <c r="K273" s="70"/>
      <c r="L273" s="70"/>
      <c r="M273" s="70"/>
      <c r="N273" s="70"/>
      <c r="O273" s="70"/>
      <c r="P273" s="70"/>
      <c r="Q273" s="70"/>
      <c r="R273" s="70"/>
      <c r="S273" s="70"/>
      <c r="T273" s="70"/>
    </row>
    <row r="274" spans="10:20" x14ac:dyDescent="0.25">
      <c r="J274" s="70"/>
      <c r="K274" s="70"/>
      <c r="L274" s="70"/>
      <c r="M274" s="70"/>
      <c r="N274" s="70"/>
      <c r="O274" s="70"/>
      <c r="P274" s="70"/>
      <c r="Q274" s="70"/>
      <c r="R274" s="70"/>
      <c r="S274" s="70"/>
      <c r="T274" s="70"/>
    </row>
    <row r="275" spans="10:20" x14ac:dyDescent="0.25">
      <c r="J275" s="70"/>
      <c r="K275" s="70"/>
      <c r="L275" s="70"/>
      <c r="M275" s="70"/>
      <c r="N275" s="70"/>
      <c r="O275" s="70"/>
      <c r="P275" s="70"/>
      <c r="Q275" s="70"/>
      <c r="R275" s="70"/>
      <c r="S275" s="70"/>
      <c r="T275" s="70"/>
    </row>
    <row r="276" spans="10:20" x14ac:dyDescent="0.25">
      <c r="J276" s="70"/>
      <c r="K276" s="70"/>
      <c r="L276" s="70"/>
      <c r="M276" s="70"/>
      <c r="N276" s="70"/>
      <c r="O276" s="70"/>
      <c r="P276" s="70"/>
      <c r="Q276" s="70"/>
      <c r="R276" s="70"/>
      <c r="S276" s="70"/>
      <c r="T276" s="70"/>
    </row>
    <row r="277" spans="10:20" x14ac:dyDescent="0.25">
      <c r="J277" s="70"/>
      <c r="K277" s="70"/>
      <c r="L277" s="70"/>
      <c r="M277" s="70"/>
      <c r="N277" s="70"/>
      <c r="O277" s="70"/>
      <c r="P277" s="70"/>
      <c r="Q277" s="70"/>
      <c r="R277" s="70"/>
      <c r="S277" s="70"/>
      <c r="T277" s="70"/>
    </row>
    <row r="278" spans="10:20" x14ac:dyDescent="0.25">
      <c r="J278" s="70"/>
      <c r="K278" s="70"/>
      <c r="L278" s="70"/>
      <c r="M278" s="70"/>
      <c r="N278" s="70"/>
      <c r="O278" s="70"/>
      <c r="P278" s="70"/>
      <c r="Q278" s="70"/>
      <c r="R278" s="70"/>
      <c r="S278" s="70"/>
      <c r="T278" s="70"/>
    </row>
    <row r="279" spans="10:20" x14ac:dyDescent="0.25">
      <c r="J279" s="70"/>
      <c r="K279" s="70"/>
      <c r="L279" s="70"/>
      <c r="M279" s="70"/>
      <c r="N279" s="70"/>
      <c r="O279" s="70"/>
      <c r="P279" s="70"/>
      <c r="Q279" s="70"/>
      <c r="R279" s="70"/>
      <c r="S279" s="70"/>
      <c r="T279" s="70"/>
    </row>
    <row r="280" spans="10:20" x14ac:dyDescent="0.25">
      <c r="J280" s="70"/>
      <c r="K280" s="70"/>
      <c r="L280" s="70"/>
      <c r="M280" s="70"/>
      <c r="N280" s="70"/>
      <c r="O280" s="70"/>
      <c r="P280" s="70"/>
      <c r="Q280" s="70"/>
      <c r="R280" s="70"/>
      <c r="S280" s="70"/>
      <c r="T280" s="70"/>
    </row>
    <row r="281" spans="10:20" x14ac:dyDescent="0.25">
      <c r="J281" s="70"/>
      <c r="K281" s="70"/>
      <c r="L281" s="70"/>
      <c r="M281" s="70"/>
      <c r="N281" s="70"/>
      <c r="O281" s="70"/>
      <c r="P281" s="70"/>
      <c r="Q281" s="70"/>
      <c r="R281" s="70"/>
      <c r="S281" s="70"/>
      <c r="T281" s="70"/>
    </row>
    <row r="282" spans="10:20" x14ac:dyDescent="0.25">
      <c r="J282" s="70"/>
      <c r="K282" s="70"/>
      <c r="L282" s="70"/>
      <c r="M282" s="70"/>
      <c r="N282" s="70"/>
      <c r="O282" s="70"/>
      <c r="P282" s="70"/>
      <c r="Q282" s="70"/>
      <c r="R282" s="70"/>
      <c r="S282" s="70"/>
      <c r="T282" s="70"/>
    </row>
    <row r="283" spans="10:20" x14ac:dyDescent="0.25">
      <c r="J283" s="70"/>
      <c r="K283" s="70"/>
      <c r="L283" s="70"/>
      <c r="M283" s="70"/>
      <c r="N283" s="70"/>
      <c r="O283" s="70"/>
      <c r="P283" s="70"/>
      <c r="Q283" s="70"/>
      <c r="R283" s="70"/>
      <c r="S283" s="70"/>
      <c r="T283" s="70"/>
    </row>
    <row r="284" spans="10:20" x14ac:dyDescent="0.25">
      <c r="J284" s="70"/>
      <c r="K284" s="70"/>
      <c r="L284" s="70"/>
      <c r="M284" s="70"/>
      <c r="N284" s="70"/>
      <c r="O284" s="70"/>
      <c r="P284" s="70"/>
      <c r="Q284" s="70"/>
      <c r="R284" s="70"/>
      <c r="S284" s="70"/>
      <c r="T284" s="70"/>
    </row>
    <row r="285" spans="10:20" x14ac:dyDescent="0.25">
      <c r="J285" s="70"/>
      <c r="K285" s="70"/>
      <c r="L285" s="70"/>
      <c r="M285" s="70"/>
      <c r="N285" s="70"/>
      <c r="O285" s="70"/>
      <c r="P285" s="70"/>
      <c r="Q285" s="70"/>
      <c r="R285" s="70"/>
      <c r="S285" s="70"/>
      <c r="T285" s="70"/>
    </row>
    <row r="286" spans="10:20" x14ac:dyDescent="0.25">
      <c r="J286" s="70"/>
      <c r="K286" s="70"/>
      <c r="L286" s="70"/>
      <c r="M286" s="70"/>
      <c r="N286" s="70"/>
      <c r="O286" s="70"/>
      <c r="P286" s="70"/>
      <c r="Q286" s="70"/>
      <c r="R286" s="70"/>
      <c r="S286" s="70"/>
      <c r="T286" s="70"/>
    </row>
    <row r="287" spans="10:20" x14ac:dyDescent="0.25">
      <c r="J287" s="70"/>
      <c r="K287" s="70"/>
      <c r="L287" s="70"/>
      <c r="M287" s="70"/>
      <c r="N287" s="70"/>
      <c r="O287" s="70"/>
      <c r="P287" s="70"/>
      <c r="Q287" s="70"/>
      <c r="R287" s="70"/>
      <c r="S287" s="70"/>
      <c r="T287" s="70"/>
    </row>
    <row r="288" spans="10:20" x14ac:dyDescent="0.25">
      <c r="J288" s="70"/>
      <c r="K288" s="70"/>
      <c r="L288" s="70"/>
      <c r="M288" s="70"/>
      <c r="N288" s="70"/>
      <c r="O288" s="70"/>
      <c r="P288" s="70"/>
      <c r="Q288" s="70"/>
      <c r="R288" s="70"/>
      <c r="S288" s="70"/>
      <c r="T288" s="70"/>
    </row>
    <row r="289" spans="10:20" x14ac:dyDescent="0.25">
      <c r="J289" s="70"/>
      <c r="K289" s="70"/>
      <c r="L289" s="70"/>
      <c r="M289" s="70"/>
      <c r="N289" s="70"/>
      <c r="O289" s="70"/>
      <c r="P289" s="70"/>
      <c r="Q289" s="70"/>
      <c r="R289" s="70"/>
      <c r="S289" s="70"/>
      <c r="T289" s="70"/>
    </row>
    <row r="290" spans="10:20" x14ac:dyDescent="0.25">
      <c r="J290" s="70"/>
      <c r="K290" s="70"/>
      <c r="L290" s="70"/>
      <c r="M290" s="70"/>
      <c r="N290" s="70"/>
      <c r="O290" s="70"/>
      <c r="P290" s="70"/>
      <c r="Q290" s="70"/>
      <c r="R290" s="70"/>
      <c r="S290" s="70"/>
      <c r="T290" s="70"/>
    </row>
    <row r="291" spans="10:20" x14ac:dyDescent="0.25">
      <c r="J291" s="70"/>
      <c r="K291" s="70"/>
      <c r="L291" s="70"/>
      <c r="M291" s="70"/>
      <c r="N291" s="70"/>
      <c r="O291" s="70"/>
      <c r="P291" s="70"/>
      <c r="Q291" s="70"/>
      <c r="R291" s="70"/>
      <c r="S291" s="70"/>
      <c r="T291" s="70"/>
    </row>
    <row r="292" spans="10:20" x14ac:dyDescent="0.25">
      <c r="J292" s="70"/>
      <c r="K292" s="70"/>
      <c r="L292" s="70"/>
      <c r="M292" s="70"/>
      <c r="N292" s="70"/>
      <c r="O292" s="70"/>
      <c r="P292" s="70"/>
      <c r="Q292" s="70"/>
      <c r="R292" s="70"/>
      <c r="S292" s="70"/>
      <c r="T292" s="70"/>
    </row>
    <row r="293" spans="10:20" x14ac:dyDescent="0.25">
      <c r="J293" s="70"/>
      <c r="K293" s="70"/>
      <c r="L293" s="70"/>
      <c r="M293" s="70"/>
      <c r="N293" s="70"/>
      <c r="O293" s="70"/>
      <c r="P293" s="70"/>
      <c r="Q293" s="70"/>
      <c r="R293" s="70"/>
      <c r="S293" s="70"/>
      <c r="T293" s="70"/>
    </row>
    <row r="294" spans="10:20" x14ac:dyDescent="0.25">
      <c r="J294" s="70"/>
      <c r="K294" s="70"/>
      <c r="L294" s="70"/>
      <c r="M294" s="70"/>
      <c r="N294" s="70"/>
      <c r="O294" s="70"/>
      <c r="P294" s="70"/>
      <c r="Q294" s="70"/>
      <c r="R294" s="70"/>
      <c r="S294" s="70"/>
      <c r="T294" s="70"/>
    </row>
    <row r="295" spans="10:20" x14ac:dyDescent="0.25">
      <c r="J295" s="70"/>
      <c r="K295" s="70"/>
      <c r="L295" s="70"/>
      <c r="M295" s="70"/>
      <c r="N295" s="70"/>
      <c r="O295" s="70"/>
      <c r="P295" s="70"/>
      <c r="Q295" s="70"/>
      <c r="R295" s="70"/>
      <c r="S295" s="70"/>
      <c r="T295" s="70"/>
    </row>
    <row r="296" spans="10:20" x14ac:dyDescent="0.25">
      <c r="J296" s="70"/>
      <c r="K296" s="70"/>
      <c r="L296" s="70"/>
      <c r="M296" s="70"/>
      <c r="N296" s="70"/>
      <c r="O296" s="70"/>
      <c r="P296" s="70"/>
      <c r="Q296" s="70"/>
      <c r="R296" s="70"/>
      <c r="S296" s="70"/>
      <c r="T296" s="70"/>
    </row>
    <row r="297" spans="10:20" x14ac:dyDescent="0.25">
      <c r="J297" s="70"/>
      <c r="K297" s="70"/>
      <c r="L297" s="70"/>
      <c r="M297" s="70"/>
      <c r="N297" s="70"/>
      <c r="O297" s="70"/>
      <c r="P297" s="70"/>
      <c r="Q297" s="70"/>
      <c r="R297" s="70"/>
      <c r="S297" s="70"/>
      <c r="T297" s="70"/>
    </row>
    <row r="298" spans="10:20" x14ac:dyDescent="0.25">
      <c r="J298" s="70"/>
      <c r="K298" s="70"/>
      <c r="L298" s="70"/>
      <c r="M298" s="70"/>
      <c r="N298" s="70"/>
      <c r="O298" s="70"/>
      <c r="P298" s="70"/>
      <c r="Q298" s="70"/>
      <c r="R298" s="70"/>
      <c r="S298" s="70"/>
      <c r="T298" s="70"/>
    </row>
    <row r="299" spans="10:20" x14ac:dyDescent="0.25">
      <c r="J299" s="70"/>
      <c r="K299" s="70"/>
      <c r="L299" s="70"/>
      <c r="M299" s="70"/>
      <c r="N299" s="70"/>
      <c r="O299" s="70"/>
      <c r="P299" s="70"/>
      <c r="Q299" s="70"/>
      <c r="R299" s="70"/>
      <c r="S299" s="70"/>
      <c r="T299" s="70"/>
    </row>
    <row r="300" spans="10:20" x14ac:dyDescent="0.25">
      <c r="J300" s="70"/>
      <c r="K300" s="70"/>
      <c r="L300" s="70"/>
      <c r="M300" s="70"/>
      <c r="N300" s="70"/>
      <c r="O300" s="70"/>
      <c r="P300" s="70"/>
      <c r="Q300" s="70"/>
      <c r="R300" s="70"/>
      <c r="S300" s="70"/>
      <c r="T300" s="70"/>
    </row>
    <row r="301" spans="10:20" x14ac:dyDescent="0.25">
      <c r="J301" s="70"/>
      <c r="K301" s="70"/>
      <c r="L301" s="70"/>
      <c r="M301" s="70"/>
      <c r="N301" s="70"/>
      <c r="O301" s="70"/>
      <c r="P301" s="70"/>
      <c r="Q301" s="70"/>
      <c r="R301" s="70"/>
      <c r="S301" s="70"/>
      <c r="T301" s="70"/>
    </row>
    <row r="302" spans="10:20" x14ac:dyDescent="0.25">
      <c r="J302" s="70"/>
      <c r="K302" s="70"/>
      <c r="L302" s="70"/>
      <c r="M302" s="70"/>
      <c r="N302" s="70"/>
      <c r="O302" s="70"/>
      <c r="P302" s="70"/>
      <c r="Q302" s="70"/>
      <c r="R302" s="70"/>
      <c r="S302" s="70"/>
      <c r="T302" s="70"/>
    </row>
    <row r="303" spans="10:20" x14ac:dyDescent="0.25">
      <c r="J303" s="70"/>
      <c r="K303" s="70"/>
      <c r="L303" s="70"/>
      <c r="M303" s="70"/>
      <c r="N303" s="70"/>
      <c r="O303" s="70"/>
      <c r="P303" s="70"/>
      <c r="Q303" s="70"/>
      <c r="R303" s="70"/>
      <c r="S303" s="70"/>
      <c r="T303" s="70"/>
    </row>
    <row r="304" spans="10:20" x14ac:dyDescent="0.25">
      <c r="J304" s="70"/>
      <c r="K304" s="70"/>
      <c r="L304" s="70"/>
      <c r="M304" s="70"/>
      <c r="N304" s="70"/>
      <c r="O304" s="70"/>
      <c r="P304" s="70"/>
      <c r="Q304" s="70"/>
      <c r="R304" s="70"/>
      <c r="S304" s="70"/>
      <c r="T304" s="70"/>
    </row>
    <row r="305" spans="10:20" x14ac:dyDescent="0.25">
      <c r="J305" s="70"/>
      <c r="K305" s="70"/>
      <c r="L305" s="70"/>
      <c r="M305" s="70"/>
      <c r="N305" s="70"/>
      <c r="O305" s="70"/>
      <c r="P305" s="70"/>
      <c r="Q305" s="70"/>
      <c r="R305" s="70"/>
      <c r="S305" s="70"/>
      <c r="T305" s="70"/>
    </row>
    <row r="306" spans="10:20" x14ac:dyDescent="0.25">
      <c r="J306" s="70"/>
      <c r="K306" s="70"/>
      <c r="L306" s="70"/>
      <c r="M306" s="70"/>
      <c r="N306" s="70"/>
      <c r="O306" s="70"/>
      <c r="P306" s="70"/>
      <c r="Q306" s="70"/>
      <c r="R306" s="70"/>
      <c r="S306" s="70"/>
      <c r="T306" s="70"/>
    </row>
    <row r="307" spans="10:20" x14ac:dyDescent="0.25">
      <c r="J307" s="70"/>
      <c r="K307" s="70"/>
      <c r="L307" s="70"/>
      <c r="M307" s="70"/>
      <c r="N307" s="70"/>
      <c r="O307" s="70"/>
      <c r="P307" s="70"/>
      <c r="Q307" s="70"/>
      <c r="R307" s="70"/>
      <c r="S307" s="70"/>
      <c r="T307" s="70"/>
    </row>
    <row r="308" spans="10:20" x14ac:dyDescent="0.25">
      <c r="J308" s="70"/>
      <c r="K308" s="70"/>
      <c r="L308" s="70"/>
      <c r="M308" s="70"/>
      <c r="N308" s="70"/>
      <c r="O308" s="70"/>
      <c r="P308" s="70"/>
      <c r="Q308" s="70"/>
      <c r="R308" s="70"/>
      <c r="S308" s="70"/>
      <c r="T308" s="70"/>
    </row>
    <row r="309" spans="10:20" x14ac:dyDescent="0.25">
      <c r="J309" s="70"/>
      <c r="K309" s="70"/>
      <c r="L309" s="70"/>
      <c r="M309" s="70"/>
      <c r="N309" s="70"/>
      <c r="O309" s="70"/>
      <c r="P309" s="70"/>
      <c r="Q309" s="70"/>
      <c r="R309" s="70"/>
      <c r="S309" s="70"/>
      <c r="T309" s="70"/>
    </row>
    <row r="310" spans="10:20" x14ac:dyDescent="0.25">
      <c r="J310" s="70"/>
      <c r="K310" s="70"/>
      <c r="L310" s="70"/>
      <c r="M310" s="70"/>
      <c r="N310" s="70"/>
      <c r="O310" s="70"/>
      <c r="P310" s="70"/>
      <c r="Q310" s="70"/>
      <c r="R310" s="70"/>
      <c r="S310" s="70"/>
      <c r="T310" s="70"/>
    </row>
    <row r="311" spans="10:20" x14ac:dyDescent="0.25">
      <c r="J311" s="70"/>
      <c r="K311" s="70"/>
      <c r="L311" s="70"/>
      <c r="M311" s="70"/>
      <c r="N311" s="70"/>
      <c r="O311" s="70"/>
      <c r="P311" s="70"/>
      <c r="Q311" s="70"/>
      <c r="R311" s="70"/>
      <c r="S311" s="70"/>
      <c r="T311" s="70"/>
    </row>
    <row r="312" spans="10:20" x14ac:dyDescent="0.25">
      <c r="J312" s="70"/>
      <c r="K312" s="70"/>
      <c r="L312" s="70"/>
      <c r="M312" s="70"/>
      <c r="N312" s="70"/>
      <c r="O312" s="70"/>
      <c r="P312" s="70"/>
      <c r="Q312" s="70"/>
      <c r="R312" s="70"/>
      <c r="S312" s="70"/>
      <c r="T312" s="70"/>
    </row>
    <row r="313" spans="10:20" x14ac:dyDescent="0.25">
      <c r="J313" s="70"/>
      <c r="K313" s="70"/>
      <c r="L313" s="70"/>
      <c r="M313" s="70"/>
      <c r="N313" s="70"/>
      <c r="O313" s="70"/>
      <c r="P313" s="70"/>
      <c r="Q313" s="70"/>
      <c r="R313" s="70"/>
      <c r="S313" s="70"/>
      <c r="T313" s="70"/>
    </row>
    <row r="314" spans="10:20" x14ac:dyDescent="0.25">
      <c r="J314" s="70"/>
      <c r="K314" s="70"/>
      <c r="L314" s="70"/>
      <c r="M314" s="70"/>
      <c r="N314" s="70"/>
      <c r="O314" s="70"/>
      <c r="P314" s="70"/>
      <c r="Q314" s="70"/>
      <c r="R314" s="70"/>
      <c r="S314" s="70"/>
      <c r="T314" s="70"/>
    </row>
    <row r="315" spans="10:20" x14ac:dyDescent="0.25">
      <c r="J315" s="70"/>
      <c r="K315" s="70"/>
      <c r="L315" s="70"/>
      <c r="M315" s="70"/>
      <c r="N315" s="70"/>
      <c r="O315" s="70"/>
      <c r="P315" s="70"/>
      <c r="Q315" s="70"/>
      <c r="R315" s="70"/>
      <c r="S315" s="70"/>
      <c r="T315" s="70"/>
    </row>
    <row r="316" spans="10:20" x14ac:dyDescent="0.25">
      <c r="J316" s="70"/>
      <c r="K316" s="70"/>
      <c r="L316" s="70"/>
      <c r="M316" s="70"/>
      <c r="N316" s="70"/>
      <c r="O316" s="70"/>
      <c r="P316" s="70"/>
      <c r="Q316" s="70"/>
      <c r="R316" s="70"/>
      <c r="S316" s="70"/>
      <c r="T316" s="70"/>
    </row>
    <row r="317" spans="10:20" x14ac:dyDescent="0.25">
      <c r="J317" s="70"/>
      <c r="K317" s="70"/>
      <c r="L317" s="70"/>
      <c r="M317" s="70"/>
      <c r="N317" s="70"/>
      <c r="O317" s="70"/>
      <c r="P317" s="70"/>
      <c r="Q317" s="70"/>
      <c r="R317" s="70"/>
      <c r="S317" s="70"/>
      <c r="T317" s="70"/>
    </row>
    <row r="318" spans="10:20" x14ac:dyDescent="0.25">
      <c r="J318" s="70"/>
      <c r="K318" s="70"/>
      <c r="L318" s="70"/>
      <c r="M318" s="70"/>
      <c r="N318" s="70"/>
      <c r="O318" s="70"/>
      <c r="P318" s="70"/>
      <c r="Q318" s="70"/>
      <c r="R318" s="70"/>
      <c r="S318" s="70"/>
      <c r="T318" s="70"/>
    </row>
    <row r="319" spans="10:20" x14ac:dyDescent="0.25">
      <c r="J319" s="70"/>
      <c r="K319" s="70"/>
      <c r="L319" s="70"/>
      <c r="M319" s="70"/>
      <c r="N319" s="70"/>
      <c r="O319" s="70"/>
      <c r="P319" s="70"/>
      <c r="Q319" s="70"/>
      <c r="R319" s="70"/>
      <c r="S319" s="70"/>
      <c r="T319" s="70"/>
    </row>
    <row r="320" spans="10:20" x14ac:dyDescent="0.25">
      <c r="J320" s="70"/>
      <c r="K320" s="70"/>
      <c r="L320" s="70"/>
      <c r="M320" s="70"/>
      <c r="N320" s="70"/>
      <c r="O320" s="70"/>
      <c r="P320" s="70"/>
      <c r="Q320" s="70"/>
      <c r="R320" s="70"/>
      <c r="S320" s="70"/>
      <c r="T320" s="70"/>
    </row>
    <row r="321" spans="10:20" x14ac:dyDescent="0.25">
      <c r="J321" s="70"/>
      <c r="K321" s="70"/>
      <c r="L321" s="70"/>
      <c r="M321" s="70"/>
      <c r="N321" s="70"/>
      <c r="O321" s="70"/>
      <c r="P321" s="70"/>
      <c r="Q321" s="70"/>
      <c r="R321" s="70"/>
      <c r="S321" s="70"/>
      <c r="T321" s="70"/>
    </row>
    <row r="322" spans="10:20" x14ac:dyDescent="0.25">
      <c r="J322" s="70"/>
      <c r="K322" s="70"/>
      <c r="L322" s="70"/>
      <c r="M322" s="70"/>
      <c r="N322" s="70"/>
      <c r="O322" s="70"/>
      <c r="P322" s="70"/>
      <c r="Q322" s="70"/>
      <c r="R322" s="70"/>
      <c r="S322" s="70"/>
      <c r="T322" s="70"/>
    </row>
    <row r="323" spans="10:20" x14ac:dyDescent="0.25">
      <c r="J323" s="70"/>
      <c r="K323" s="70"/>
      <c r="L323" s="70"/>
      <c r="M323" s="70"/>
      <c r="N323" s="70"/>
      <c r="O323" s="70"/>
      <c r="P323" s="70"/>
      <c r="Q323" s="70"/>
      <c r="R323" s="70"/>
      <c r="S323" s="70"/>
      <c r="T323" s="70"/>
    </row>
    <row r="324" spans="10:20" x14ac:dyDescent="0.25">
      <c r="J324" s="70"/>
      <c r="K324" s="70"/>
      <c r="L324" s="70"/>
      <c r="M324" s="70"/>
      <c r="N324" s="70"/>
      <c r="O324" s="70"/>
      <c r="P324" s="70"/>
      <c r="Q324" s="70"/>
      <c r="R324" s="70"/>
      <c r="S324" s="70"/>
      <c r="T324" s="70"/>
    </row>
    <row r="325" spans="10:20" x14ac:dyDescent="0.25">
      <c r="J325" s="70"/>
      <c r="K325" s="70"/>
      <c r="L325" s="70"/>
      <c r="M325" s="70"/>
      <c r="N325" s="70"/>
      <c r="O325" s="70"/>
      <c r="P325" s="70"/>
      <c r="Q325" s="70"/>
      <c r="R325" s="70"/>
      <c r="S325" s="70"/>
      <c r="T325" s="70"/>
    </row>
    <row r="326" spans="10:20" x14ac:dyDescent="0.25">
      <c r="J326" s="70"/>
      <c r="K326" s="70"/>
      <c r="L326" s="70"/>
      <c r="M326" s="70"/>
      <c r="N326" s="70"/>
      <c r="O326" s="70"/>
      <c r="P326" s="70"/>
      <c r="Q326" s="70"/>
      <c r="R326" s="70"/>
      <c r="S326" s="70"/>
      <c r="T326" s="70"/>
    </row>
    <row r="327" spans="10:20" x14ac:dyDescent="0.25">
      <c r="J327" s="70"/>
      <c r="K327" s="70"/>
      <c r="L327" s="70"/>
      <c r="M327" s="70"/>
      <c r="N327" s="70"/>
      <c r="O327" s="70"/>
      <c r="P327" s="70"/>
      <c r="Q327" s="70"/>
      <c r="R327" s="70"/>
      <c r="S327" s="70"/>
      <c r="T327" s="70"/>
    </row>
    <row r="328" spans="10:20" x14ac:dyDescent="0.25">
      <c r="J328" s="70"/>
      <c r="K328" s="70"/>
      <c r="L328" s="70"/>
      <c r="M328" s="70"/>
      <c r="N328" s="70"/>
      <c r="O328" s="70"/>
      <c r="P328" s="70"/>
      <c r="Q328" s="70"/>
      <c r="R328" s="70"/>
      <c r="S328" s="70"/>
      <c r="T328" s="70"/>
    </row>
    <row r="329" spans="10:20" x14ac:dyDescent="0.25">
      <c r="J329" s="70"/>
      <c r="K329" s="70"/>
      <c r="L329" s="70"/>
      <c r="M329" s="70"/>
      <c r="N329" s="70"/>
      <c r="O329" s="70"/>
      <c r="P329" s="70"/>
      <c r="Q329" s="70"/>
      <c r="R329" s="70"/>
      <c r="S329" s="70"/>
      <c r="T329" s="70"/>
    </row>
    <row r="330" spans="10:20" x14ac:dyDescent="0.25">
      <c r="J330" s="70"/>
      <c r="K330" s="70"/>
      <c r="L330" s="70"/>
      <c r="M330" s="70"/>
      <c r="N330" s="70"/>
      <c r="O330" s="70"/>
      <c r="P330" s="70"/>
      <c r="Q330" s="70"/>
      <c r="R330" s="70"/>
      <c r="S330" s="70"/>
      <c r="T330" s="70"/>
    </row>
    <row r="331" spans="10:20" x14ac:dyDescent="0.25">
      <c r="J331" s="70"/>
      <c r="K331" s="70"/>
      <c r="L331" s="70"/>
      <c r="M331" s="70"/>
      <c r="N331" s="70"/>
      <c r="O331" s="70"/>
      <c r="P331" s="70"/>
      <c r="Q331" s="70"/>
      <c r="R331" s="70"/>
      <c r="S331" s="70"/>
      <c r="T331" s="70"/>
    </row>
    <row r="332" spans="10:20" x14ac:dyDescent="0.25">
      <c r="J332" s="70"/>
      <c r="K332" s="70"/>
      <c r="L332" s="70"/>
      <c r="M332" s="70"/>
      <c r="N332" s="70"/>
      <c r="O332" s="70"/>
      <c r="P332" s="70"/>
      <c r="Q332" s="70"/>
      <c r="R332" s="70"/>
      <c r="S332" s="70"/>
      <c r="T332" s="70"/>
    </row>
    <row r="333" spans="10:20" x14ac:dyDescent="0.25">
      <c r="J333" s="70"/>
      <c r="K333" s="70"/>
      <c r="L333" s="70"/>
      <c r="M333" s="70"/>
      <c r="N333" s="70"/>
      <c r="O333" s="70"/>
      <c r="P333" s="70"/>
      <c r="Q333" s="70"/>
      <c r="R333" s="70"/>
      <c r="S333" s="70"/>
      <c r="T333" s="70"/>
    </row>
    <row r="334" spans="10:20" x14ac:dyDescent="0.25">
      <c r="J334" s="70"/>
      <c r="K334" s="70"/>
      <c r="L334" s="70"/>
      <c r="M334" s="70"/>
      <c r="N334" s="70"/>
      <c r="O334" s="70"/>
      <c r="P334" s="70"/>
      <c r="Q334" s="70"/>
      <c r="R334" s="70"/>
      <c r="S334" s="70"/>
      <c r="T334" s="70"/>
    </row>
    <row r="335" spans="10:20" x14ac:dyDescent="0.25">
      <c r="J335" s="70"/>
      <c r="K335" s="70"/>
      <c r="L335" s="70"/>
      <c r="M335" s="70"/>
      <c r="N335" s="70"/>
      <c r="O335" s="70"/>
      <c r="P335" s="70"/>
      <c r="Q335" s="70"/>
      <c r="R335" s="70"/>
      <c r="S335" s="70"/>
      <c r="T335" s="70"/>
    </row>
    <row r="336" spans="10:20" x14ac:dyDescent="0.25">
      <c r="J336" s="70"/>
      <c r="K336" s="70"/>
      <c r="L336" s="70"/>
      <c r="M336" s="70"/>
      <c r="N336" s="70"/>
      <c r="O336" s="70"/>
      <c r="P336" s="70"/>
      <c r="Q336" s="70"/>
      <c r="R336" s="70"/>
      <c r="S336" s="70"/>
      <c r="T336" s="70"/>
    </row>
    <row r="337" spans="10:20" x14ac:dyDescent="0.25">
      <c r="J337" s="70"/>
      <c r="K337" s="70"/>
      <c r="L337" s="70"/>
      <c r="M337" s="70"/>
      <c r="N337" s="70"/>
      <c r="O337" s="70"/>
      <c r="P337" s="70"/>
      <c r="Q337" s="70"/>
      <c r="R337" s="70"/>
      <c r="S337" s="70"/>
      <c r="T337" s="70"/>
    </row>
    <row r="338" spans="10:20" x14ac:dyDescent="0.25">
      <c r="J338" s="70"/>
      <c r="K338" s="70"/>
      <c r="L338" s="70"/>
      <c r="M338" s="70"/>
      <c r="N338" s="70"/>
      <c r="O338" s="70"/>
      <c r="P338" s="70"/>
      <c r="Q338" s="70"/>
      <c r="R338" s="70"/>
      <c r="S338" s="70"/>
      <c r="T338" s="70"/>
    </row>
    <row r="339" spans="10:20" x14ac:dyDescent="0.25">
      <c r="J339" s="70"/>
      <c r="K339" s="70"/>
      <c r="L339" s="70"/>
      <c r="M339" s="70"/>
      <c r="N339" s="70"/>
      <c r="O339" s="70"/>
      <c r="P339" s="70"/>
      <c r="Q339" s="70"/>
      <c r="R339" s="70"/>
      <c r="S339" s="70"/>
      <c r="T339" s="70"/>
    </row>
    <row r="340" spans="10:20" x14ac:dyDescent="0.25">
      <c r="J340" s="70"/>
      <c r="K340" s="70"/>
      <c r="L340" s="70"/>
      <c r="M340" s="70"/>
      <c r="N340" s="70"/>
      <c r="O340" s="70"/>
      <c r="P340" s="70"/>
      <c r="Q340" s="70"/>
      <c r="R340" s="70"/>
      <c r="S340" s="70"/>
      <c r="T340" s="70"/>
    </row>
    <row r="341" spans="10:20" x14ac:dyDescent="0.25">
      <c r="J341" s="70"/>
      <c r="K341" s="70"/>
      <c r="L341" s="70"/>
      <c r="M341" s="70"/>
      <c r="N341" s="70"/>
      <c r="O341" s="70"/>
      <c r="P341" s="70"/>
      <c r="Q341" s="70"/>
      <c r="R341" s="70"/>
      <c r="S341" s="70"/>
      <c r="T341" s="70"/>
    </row>
    <row r="342" spans="10:20" x14ac:dyDescent="0.25">
      <c r="J342" s="70"/>
      <c r="K342" s="70"/>
      <c r="L342" s="70"/>
      <c r="M342" s="70"/>
      <c r="N342" s="70"/>
      <c r="O342" s="70"/>
      <c r="P342" s="70"/>
      <c r="Q342" s="70"/>
      <c r="R342" s="70"/>
      <c r="S342" s="70"/>
      <c r="T342" s="70"/>
    </row>
    <row r="343" spans="10:20" x14ac:dyDescent="0.25">
      <c r="J343" s="70"/>
      <c r="K343" s="70"/>
      <c r="L343" s="70"/>
      <c r="M343" s="70"/>
      <c r="N343" s="70"/>
      <c r="O343" s="70"/>
      <c r="P343" s="70"/>
      <c r="Q343" s="70"/>
      <c r="R343" s="70"/>
      <c r="S343" s="70"/>
      <c r="T343" s="70"/>
    </row>
    <row r="344" spans="10:20" x14ac:dyDescent="0.25">
      <c r="J344" s="70"/>
      <c r="K344" s="70"/>
      <c r="L344" s="70"/>
      <c r="M344" s="70"/>
      <c r="N344" s="70"/>
      <c r="O344" s="70"/>
      <c r="P344" s="70"/>
      <c r="Q344" s="70"/>
      <c r="R344" s="70"/>
      <c r="S344" s="70"/>
      <c r="T344" s="70"/>
    </row>
    <row r="345" spans="10:20" x14ac:dyDescent="0.25">
      <c r="J345" s="70"/>
      <c r="K345" s="70"/>
      <c r="L345" s="70"/>
      <c r="M345" s="70"/>
      <c r="N345" s="70"/>
      <c r="O345" s="70"/>
      <c r="P345" s="70"/>
      <c r="Q345" s="70"/>
      <c r="R345" s="70"/>
      <c r="S345" s="70"/>
      <c r="T345" s="70"/>
    </row>
    <row r="346" spans="10:20" x14ac:dyDescent="0.25">
      <c r="J346" s="70"/>
      <c r="K346" s="70"/>
      <c r="L346" s="70"/>
      <c r="M346" s="70"/>
      <c r="N346" s="70"/>
      <c r="O346" s="70"/>
      <c r="P346" s="70"/>
      <c r="Q346" s="70"/>
      <c r="R346" s="70"/>
      <c r="S346" s="70"/>
      <c r="T346" s="70"/>
    </row>
    <row r="347" spans="10:20" x14ac:dyDescent="0.25">
      <c r="J347" s="70"/>
      <c r="K347" s="70"/>
      <c r="L347" s="70"/>
      <c r="M347" s="70"/>
      <c r="N347" s="70"/>
      <c r="O347" s="70"/>
      <c r="P347" s="70"/>
      <c r="Q347" s="70"/>
      <c r="R347" s="70"/>
      <c r="S347" s="70"/>
      <c r="T347" s="70"/>
    </row>
    <row r="348" spans="10:20" x14ac:dyDescent="0.25">
      <c r="J348" s="70"/>
      <c r="K348" s="70"/>
      <c r="L348" s="70"/>
      <c r="M348" s="70"/>
      <c r="N348" s="70"/>
      <c r="O348" s="70"/>
      <c r="P348" s="70"/>
      <c r="Q348" s="70"/>
      <c r="R348" s="70"/>
      <c r="S348" s="70"/>
      <c r="T348" s="70"/>
    </row>
    <row r="349" spans="10:20" x14ac:dyDescent="0.25">
      <c r="J349" s="70"/>
      <c r="K349" s="70"/>
      <c r="L349" s="70"/>
      <c r="M349" s="70"/>
      <c r="N349" s="70"/>
      <c r="O349" s="70"/>
      <c r="P349" s="70"/>
      <c r="Q349" s="70"/>
      <c r="R349" s="70"/>
      <c r="S349" s="70"/>
      <c r="T349" s="70"/>
    </row>
    <row r="350" spans="10:20" x14ac:dyDescent="0.25">
      <c r="J350" s="70"/>
      <c r="K350" s="70"/>
      <c r="L350" s="70"/>
      <c r="M350" s="70"/>
      <c r="N350" s="70"/>
      <c r="O350" s="70"/>
      <c r="P350" s="70"/>
      <c r="Q350" s="70"/>
      <c r="R350" s="70"/>
      <c r="S350" s="70"/>
      <c r="T350" s="70"/>
    </row>
    <row r="351" spans="10:20" x14ac:dyDescent="0.25">
      <c r="J351" s="70"/>
      <c r="K351" s="70"/>
      <c r="L351" s="70"/>
      <c r="M351" s="70"/>
      <c r="N351" s="70"/>
      <c r="O351" s="70"/>
      <c r="P351" s="70"/>
      <c r="Q351" s="70"/>
      <c r="R351" s="70"/>
      <c r="S351" s="70"/>
      <c r="T351" s="70"/>
    </row>
    <row r="352" spans="10:20" x14ac:dyDescent="0.25">
      <c r="J352" s="70"/>
      <c r="K352" s="70"/>
      <c r="L352" s="70"/>
      <c r="M352" s="70"/>
      <c r="N352" s="70"/>
      <c r="O352" s="70"/>
      <c r="P352" s="70"/>
      <c r="Q352" s="70"/>
      <c r="R352" s="70"/>
      <c r="S352" s="70"/>
      <c r="T352" s="70"/>
    </row>
    <row r="353" spans="10:20" x14ac:dyDescent="0.25">
      <c r="J353" s="70"/>
      <c r="K353" s="70"/>
      <c r="L353" s="70"/>
      <c r="M353" s="70"/>
      <c r="N353" s="70"/>
      <c r="O353" s="70"/>
      <c r="P353" s="70"/>
      <c r="Q353" s="70"/>
      <c r="R353" s="70"/>
      <c r="S353" s="70"/>
      <c r="T353" s="70"/>
    </row>
    <row r="354" spans="10:20" x14ac:dyDescent="0.25">
      <c r="J354" s="70"/>
      <c r="K354" s="70"/>
      <c r="L354" s="70"/>
      <c r="M354" s="70"/>
      <c r="N354" s="70"/>
      <c r="O354" s="70"/>
      <c r="P354" s="70"/>
      <c r="Q354" s="70"/>
      <c r="R354" s="70"/>
      <c r="S354" s="70"/>
      <c r="T354" s="70"/>
    </row>
    <row r="355" spans="10:20" x14ac:dyDescent="0.25">
      <c r="J355" s="70"/>
      <c r="K355" s="70"/>
      <c r="L355" s="70"/>
      <c r="M355" s="70"/>
      <c r="N355" s="70"/>
      <c r="O355" s="70"/>
      <c r="P355" s="70"/>
      <c r="Q355" s="70"/>
      <c r="R355" s="70"/>
      <c r="S355" s="70"/>
      <c r="T355" s="70"/>
    </row>
    <row r="356" spans="10:20" x14ac:dyDescent="0.25">
      <c r="J356" s="70"/>
      <c r="K356" s="70"/>
      <c r="L356" s="70"/>
      <c r="M356" s="70"/>
      <c r="N356" s="70"/>
      <c r="O356" s="70"/>
      <c r="P356" s="70"/>
      <c r="Q356" s="70"/>
      <c r="R356" s="70"/>
      <c r="S356" s="70"/>
      <c r="T356" s="70"/>
    </row>
    <row r="357" spans="10:20" x14ac:dyDescent="0.25">
      <c r="J357" s="70"/>
      <c r="K357" s="70"/>
      <c r="L357" s="70"/>
      <c r="M357" s="70"/>
      <c r="N357" s="70"/>
      <c r="O357" s="70"/>
      <c r="P357" s="70"/>
      <c r="Q357" s="70"/>
      <c r="R357" s="70"/>
      <c r="S357" s="70"/>
      <c r="T357" s="70"/>
    </row>
    <row r="358" spans="10:20" x14ac:dyDescent="0.25">
      <c r="J358" s="70"/>
      <c r="K358" s="70"/>
      <c r="L358" s="70"/>
      <c r="M358" s="70"/>
      <c r="N358" s="70"/>
      <c r="O358" s="70"/>
      <c r="P358" s="70"/>
      <c r="Q358" s="70"/>
      <c r="R358" s="70"/>
      <c r="S358" s="70"/>
      <c r="T358" s="70"/>
    </row>
    <row r="359" spans="10:20" x14ac:dyDescent="0.25">
      <c r="J359" s="70"/>
      <c r="K359" s="70"/>
      <c r="L359" s="70"/>
      <c r="M359" s="70"/>
      <c r="N359" s="70"/>
      <c r="O359" s="70"/>
      <c r="P359" s="70"/>
      <c r="Q359" s="70"/>
      <c r="R359" s="70"/>
      <c r="S359" s="70"/>
      <c r="T359" s="70"/>
    </row>
    <row r="360" spans="10:20" x14ac:dyDescent="0.25">
      <c r="J360" s="70"/>
      <c r="K360" s="70"/>
      <c r="L360" s="70"/>
      <c r="M360" s="70"/>
      <c r="N360" s="70"/>
      <c r="O360" s="70"/>
      <c r="P360" s="70"/>
      <c r="Q360" s="70"/>
      <c r="R360" s="70"/>
      <c r="S360" s="70"/>
      <c r="T360" s="70"/>
    </row>
    <row r="361" spans="10:20" x14ac:dyDescent="0.25">
      <c r="J361" s="70"/>
      <c r="K361" s="70"/>
      <c r="L361" s="70"/>
      <c r="M361" s="70"/>
      <c r="N361" s="70"/>
      <c r="O361" s="70"/>
      <c r="P361" s="70"/>
      <c r="Q361" s="70"/>
      <c r="R361" s="70"/>
      <c r="S361" s="70"/>
      <c r="T361" s="70"/>
    </row>
    <row r="362" spans="10:20" x14ac:dyDescent="0.25">
      <c r="J362" s="70"/>
      <c r="K362" s="70"/>
      <c r="L362" s="70"/>
      <c r="M362" s="70"/>
      <c r="N362" s="70"/>
      <c r="O362" s="70"/>
      <c r="P362" s="70"/>
      <c r="Q362" s="70"/>
      <c r="R362" s="70"/>
      <c r="S362" s="70"/>
      <c r="T362" s="70"/>
    </row>
    <row r="363" spans="10:20" x14ac:dyDescent="0.25">
      <c r="J363" s="70"/>
      <c r="K363" s="70"/>
      <c r="L363" s="70"/>
      <c r="M363" s="70"/>
      <c r="N363" s="70"/>
      <c r="O363" s="70"/>
      <c r="P363" s="70"/>
      <c r="Q363" s="70"/>
      <c r="R363" s="70"/>
      <c r="S363" s="70"/>
      <c r="T363" s="70"/>
    </row>
    <row r="364" spans="10:20" x14ac:dyDescent="0.25">
      <c r="J364" s="70"/>
      <c r="K364" s="70"/>
      <c r="L364" s="70"/>
      <c r="M364" s="70"/>
      <c r="N364" s="70"/>
      <c r="O364" s="70"/>
      <c r="P364" s="70"/>
      <c r="Q364" s="70"/>
      <c r="R364" s="70"/>
      <c r="S364" s="70"/>
      <c r="T364" s="70"/>
    </row>
    <row r="365" spans="10:20" x14ac:dyDescent="0.25">
      <c r="J365" s="70"/>
      <c r="K365" s="70"/>
      <c r="L365" s="70"/>
      <c r="M365" s="70"/>
      <c r="N365" s="70"/>
      <c r="O365" s="70"/>
      <c r="P365" s="70"/>
      <c r="Q365" s="70"/>
      <c r="R365" s="70"/>
      <c r="S365" s="70"/>
      <c r="T365" s="70"/>
    </row>
    <row r="366" spans="10:20" x14ac:dyDescent="0.25">
      <c r="J366" s="70"/>
      <c r="K366" s="70"/>
      <c r="L366" s="70"/>
      <c r="M366" s="70"/>
      <c r="N366" s="70"/>
      <c r="O366" s="70"/>
      <c r="P366" s="70"/>
      <c r="Q366" s="70"/>
      <c r="R366" s="70"/>
      <c r="S366" s="70"/>
      <c r="T366" s="70"/>
    </row>
    <row r="367" spans="10:20" x14ac:dyDescent="0.25">
      <c r="J367" s="70"/>
      <c r="K367" s="70"/>
      <c r="L367" s="70"/>
      <c r="M367" s="70"/>
      <c r="N367" s="70"/>
      <c r="O367" s="70"/>
      <c r="P367" s="70"/>
      <c r="Q367" s="70"/>
      <c r="R367" s="70"/>
      <c r="S367" s="70"/>
      <c r="T367" s="70"/>
    </row>
    <row r="368" spans="10:20" x14ac:dyDescent="0.25">
      <c r="J368" s="70"/>
      <c r="K368" s="70"/>
      <c r="L368" s="70"/>
      <c r="M368" s="70"/>
      <c r="N368" s="70"/>
      <c r="O368" s="70"/>
      <c r="P368" s="70"/>
      <c r="Q368" s="70"/>
      <c r="R368" s="70"/>
      <c r="S368" s="70"/>
      <c r="T368" s="70"/>
    </row>
    <row r="369" spans="10:20" x14ac:dyDescent="0.25">
      <c r="J369" s="70"/>
      <c r="K369" s="70"/>
      <c r="L369" s="70"/>
      <c r="M369" s="70"/>
      <c r="N369" s="70"/>
      <c r="O369" s="70"/>
      <c r="P369" s="70"/>
      <c r="Q369" s="70"/>
      <c r="R369" s="70"/>
      <c r="S369" s="70"/>
      <c r="T369" s="70"/>
    </row>
    <row r="370" spans="10:20" x14ac:dyDescent="0.25">
      <c r="J370" s="70"/>
      <c r="K370" s="70"/>
      <c r="L370" s="70"/>
      <c r="M370" s="70"/>
      <c r="N370" s="70"/>
      <c r="O370" s="70"/>
      <c r="P370" s="70"/>
      <c r="Q370" s="70"/>
      <c r="R370" s="70"/>
      <c r="S370" s="70"/>
      <c r="T370" s="70"/>
    </row>
    <row r="371" spans="10:20" x14ac:dyDescent="0.25">
      <c r="J371" s="70"/>
      <c r="K371" s="70"/>
      <c r="L371" s="70"/>
      <c r="M371" s="70"/>
      <c r="N371" s="70"/>
      <c r="O371" s="70"/>
      <c r="P371" s="70"/>
      <c r="Q371" s="70"/>
      <c r="R371" s="70"/>
      <c r="S371" s="70"/>
      <c r="T371" s="70"/>
    </row>
    <row r="372" spans="10:20" x14ac:dyDescent="0.25">
      <c r="J372" s="70"/>
      <c r="K372" s="70"/>
      <c r="L372" s="70"/>
      <c r="M372" s="70"/>
      <c r="N372" s="70"/>
      <c r="O372" s="70"/>
      <c r="P372" s="70"/>
      <c r="Q372" s="70"/>
      <c r="R372" s="70"/>
      <c r="S372" s="70"/>
      <c r="T372" s="70"/>
    </row>
    <row r="373" spans="10:20" x14ac:dyDescent="0.25">
      <c r="J373" s="70"/>
      <c r="K373" s="70"/>
      <c r="L373" s="70"/>
      <c r="M373" s="70"/>
      <c r="N373" s="70"/>
      <c r="O373" s="70"/>
      <c r="P373" s="70"/>
      <c r="Q373" s="70"/>
      <c r="R373" s="70"/>
      <c r="S373" s="70"/>
      <c r="T373" s="70"/>
    </row>
    <row r="374" spans="10:20" x14ac:dyDescent="0.25">
      <c r="J374" s="70"/>
      <c r="K374" s="70"/>
      <c r="L374" s="70"/>
      <c r="M374" s="70"/>
      <c r="N374" s="70"/>
      <c r="O374" s="70"/>
      <c r="P374" s="70"/>
      <c r="Q374" s="70"/>
      <c r="R374" s="70"/>
      <c r="S374" s="70"/>
      <c r="T374" s="70"/>
    </row>
    <row r="375" spans="10:20" x14ac:dyDescent="0.25">
      <c r="J375" s="70"/>
      <c r="K375" s="70"/>
      <c r="L375" s="70"/>
      <c r="M375" s="70"/>
      <c r="N375" s="70"/>
      <c r="O375" s="70"/>
      <c r="P375" s="70"/>
      <c r="Q375" s="70"/>
      <c r="R375" s="70"/>
      <c r="S375" s="70"/>
      <c r="T375" s="70"/>
    </row>
    <row r="376" spans="10:20" x14ac:dyDescent="0.25">
      <c r="J376" s="70"/>
      <c r="K376" s="70"/>
      <c r="L376" s="70"/>
      <c r="M376" s="70"/>
      <c r="N376" s="70"/>
      <c r="O376" s="70"/>
      <c r="P376" s="70"/>
      <c r="Q376" s="70"/>
      <c r="R376" s="70"/>
      <c r="S376" s="70"/>
      <c r="T376" s="70"/>
    </row>
    <row r="377" spans="10:20" x14ac:dyDescent="0.25">
      <c r="J377" s="70"/>
      <c r="K377" s="70"/>
      <c r="L377" s="70"/>
      <c r="M377" s="70"/>
      <c r="N377" s="70"/>
      <c r="O377" s="70"/>
      <c r="P377" s="70"/>
      <c r="Q377" s="70"/>
      <c r="R377" s="70"/>
      <c r="S377" s="70"/>
      <c r="T377" s="70"/>
    </row>
    <row r="378" spans="10:20" x14ac:dyDescent="0.25">
      <c r="J378" s="70"/>
      <c r="K378" s="70"/>
      <c r="L378" s="70"/>
      <c r="M378" s="70"/>
      <c r="N378" s="70"/>
      <c r="O378" s="70"/>
      <c r="P378" s="70"/>
      <c r="Q378" s="70"/>
      <c r="R378" s="70"/>
      <c r="S378" s="70"/>
      <c r="T378" s="70"/>
    </row>
    <row r="379" spans="10:20" x14ac:dyDescent="0.25">
      <c r="J379" s="70"/>
      <c r="K379" s="70"/>
      <c r="L379" s="70"/>
      <c r="M379" s="70"/>
      <c r="N379" s="70"/>
      <c r="O379" s="70"/>
      <c r="P379" s="70"/>
      <c r="Q379" s="70"/>
      <c r="R379" s="70"/>
      <c r="S379" s="70"/>
      <c r="T379" s="70"/>
    </row>
    <row r="380" spans="10:20" x14ac:dyDescent="0.25">
      <c r="J380" s="70"/>
      <c r="K380" s="70"/>
      <c r="L380" s="70"/>
      <c r="M380" s="70"/>
      <c r="N380" s="70"/>
      <c r="O380" s="70"/>
      <c r="P380" s="70"/>
      <c r="Q380" s="70"/>
      <c r="R380" s="70"/>
      <c r="S380" s="70"/>
      <c r="T380" s="70"/>
    </row>
    <row r="381" spans="10:20" x14ac:dyDescent="0.25">
      <c r="J381" s="70"/>
      <c r="K381" s="70"/>
      <c r="L381" s="70"/>
      <c r="M381" s="70"/>
      <c r="N381" s="70"/>
      <c r="O381" s="70"/>
      <c r="P381" s="70"/>
      <c r="Q381" s="70"/>
      <c r="R381" s="70"/>
      <c r="S381" s="70"/>
      <c r="T381" s="70"/>
    </row>
    <row r="382" spans="10:20" x14ac:dyDescent="0.25">
      <c r="J382" s="70"/>
      <c r="K382" s="70"/>
      <c r="L382" s="70"/>
      <c r="M382" s="70"/>
      <c r="N382" s="70"/>
      <c r="O382" s="70"/>
      <c r="P382" s="70"/>
      <c r="Q382" s="70"/>
      <c r="R382" s="70"/>
      <c r="S382" s="70"/>
      <c r="T382" s="70"/>
    </row>
    <row r="383" spans="10:20" x14ac:dyDescent="0.25">
      <c r="J383" s="70"/>
      <c r="K383" s="70"/>
      <c r="L383" s="70"/>
      <c r="M383" s="70"/>
      <c r="N383" s="70"/>
      <c r="O383" s="70"/>
      <c r="P383" s="70"/>
      <c r="Q383" s="70"/>
      <c r="R383" s="70"/>
      <c r="S383" s="70"/>
      <c r="T383" s="70"/>
    </row>
    <row r="384" spans="10:20" x14ac:dyDescent="0.25">
      <c r="J384" s="70"/>
      <c r="K384" s="70"/>
      <c r="L384" s="70"/>
      <c r="M384" s="70"/>
      <c r="N384" s="70"/>
      <c r="O384" s="70"/>
      <c r="P384" s="70"/>
      <c r="Q384" s="70"/>
      <c r="R384" s="70"/>
      <c r="S384" s="70"/>
      <c r="T384" s="70"/>
    </row>
    <row r="385" spans="10:20" x14ac:dyDescent="0.25">
      <c r="J385" s="70"/>
      <c r="K385" s="70"/>
      <c r="L385" s="70"/>
      <c r="M385" s="70"/>
      <c r="N385" s="70"/>
      <c r="O385" s="70"/>
      <c r="P385" s="70"/>
      <c r="Q385" s="70"/>
      <c r="R385" s="70"/>
      <c r="S385" s="70"/>
      <c r="T385" s="70"/>
    </row>
    <row r="386" spans="10:20" x14ac:dyDescent="0.25">
      <c r="J386" s="70"/>
      <c r="K386" s="70"/>
      <c r="L386" s="70"/>
      <c r="M386" s="70"/>
      <c r="N386" s="70"/>
      <c r="O386" s="70"/>
      <c r="P386" s="70"/>
      <c r="Q386" s="70"/>
      <c r="R386" s="70"/>
      <c r="S386" s="70"/>
      <c r="T386" s="70"/>
    </row>
    <row r="387" spans="10:20" x14ac:dyDescent="0.25">
      <c r="J387" s="70"/>
      <c r="K387" s="70"/>
      <c r="L387" s="70"/>
      <c r="M387" s="70"/>
      <c r="N387" s="70"/>
      <c r="O387" s="70"/>
      <c r="P387" s="70"/>
      <c r="Q387" s="70"/>
      <c r="R387" s="70"/>
      <c r="S387" s="70"/>
      <c r="T387" s="70"/>
    </row>
    <row r="388" spans="10:20" x14ac:dyDescent="0.25">
      <c r="J388" s="70"/>
      <c r="K388" s="70"/>
      <c r="L388" s="70"/>
      <c r="M388" s="70"/>
      <c r="N388" s="70"/>
      <c r="O388" s="70"/>
      <c r="P388" s="70"/>
      <c r="Q388" s="70"/>
      <c r="R388" s="70"/>
      <c r="S388" s="70"/>
      <c r="T388" s="70"/>
    </row>
    <row r="389" spans="10:20" x14ac:dyDescent="0.25">
      <c r="J389" s="70"/>
      <c r="K389" s="70"/>
      <c r="L389" s="70"/>
      <c r="M389" s="70"/>
      <c r="N389" s="70"/>
      <c r="O389" s="70"/>
      <c r="P389" s="70"/>
      <c r="Q389" s="70"/>
      <c r="R389" s="70"/>
      <c r="S389" s="70"/>
      <c r="T389" s="70"/>
    </row>
    <row r="390" spans="10:20" x14ac:dyDescent="0.25">
      <c r="J390" s="70"/>
      <c r="K390" s="70"/>
      <c r="L390" s="70"/>
      <c r="M390" s="70"/>
      <c r="N390" s="70"/>
      <c r="O390" s="70"/>
      <c r="P390" s="70"/>
      <c r="Q390" s="70"/>
      <c r="R390" s="70"/>
      <c r="S390" s="70"/>
      <c r="T390" s="70"/>
    </row>
    <row r="391" spans="10:20" x14ac:dyDescent="0.25">
      <c r="J391" s="70"/>
      <c r="K391" s="70"/>
      <c r="L391" s="70"/>
      <c r="M391" s="70"/>
      <c r="N391" s="70"/>
      <c r="O391" s="70"/>
      <c r="P391" s="70"/>
      <c r="Q391" s="70"/>
      <c r="R391" s="70"/>
      <c r="S391" s="70"/>
      <c r="T391" s="70"/>
    </row>
    <row r="392" spans="10:20" x14ac:dyDescent="0.25">
      <c r="J392" s="70"/>
      <c r="K392" s="70"/>
      <c r="L392" s="70"/>
      <c r="M392" s="70"/>
      <c r="N392" s="70"/>
      <c r="O392" s="70"/>
      <c r="P392" s="70"/>
      <c r="Q392" s="70"/>
      <c r="R392" s="70"/>
      <c r="S392" s="70"/>
      <c r="T392" s="70"/>
    </row>
    <row r="393" spans="10:20" x14ac:dyDescent="0.25">
      <c r="J393" s="70"/>
      <c r="K393" s="70"/>
      <c r="L393" s="70"/>
      <c r="M393" s="70"/>
      <c r="N393" s="70"/>
      <c r="O393" s="70"/>
      <c r="P393" s="70"/>
      <c r="Q393" s="70"/>
      <c r="R393" s="70"/>
      <c r="S393" s="70"/>
      <c r="T393" s="70"/>
    </row>
    <row r="394" spans="10:20" x14ac:dyDescent="0.25">
      <c r="J394" s="70"/>
      <c r="K394" s="70"/>
      <c r="L394" s="70"/>
      <c r="M394" s="70"/>
      <c r="N394" s="70"/>
      <c r="O394" s="70"/>
      <c r="P394" s="70"/>
      <c r="Q394" s="70"/>
      <c r="R394" s="70"/>
      <c r="S394" s="70"/>
      <c r="T394" s="70"/>
    </row>
    <row r="395" spans="10:20" x14ac:dyDescent="0.25">
      <c r="J395" s="70"/>
      <c r="K395" s="70"/>
      <c r="L395" s="70"/>
      <c r="M395" s="70"/>
      <c r="N395" s="70"/>
      <c r="O395" s="70"/>
      <c r="P395" s="70"/>
      <c r="Q395" s="70"/>
      <c r="R395" s="70"/>
      <c r="S395" s="70"/>
      <c r="T395" s="70"/>
    </row>
    <row r="396" spans="10:20" x14ac:dyDescent="0.25">
      <c r="J396" s="70"/>
      <c r="K396" s="70"/>
      <c r="L396" s="70"/>
      <c r="M396" s="70"/>
      <c r="N396" s="70"/>
      <c r="O396" s="70"/>
      <c r="P396" s="70"/>
      <c r="Q396" s="70"/>
      <c r="R396" s="70"/>
      <c r="S396" s="70"/>
      <c r="T396" s="70"/>
    </row>
    <row r="397" spans="10:20" x14ac:dyDescent="0.25">
      <c r="J397" s="70"/>
      <c r="K397" s="70"/>
      <c r="L397" s="70"/>
      <c r="M397" s="70"/>
      <c r="N397" s="70"/>
      <c r="O397" s="70"/>
      <c r="P397" s="70"/>
      <c r="Q397" s="70"/>
      <c r="R397" s="70"/>
      <c r="S397" s="70"/>
      <c r="T397" s="70"/>
    </row>
    <row r="398" spans="10:20" x14ac:dyDescent="0.25">
      <c r="J398" s="70"/>
      <c r="K398" s="70"/>
      <c r="L398" s="70"/>
      <c r="M398" s="70"/>
      <c r="N398" s="70"/>
      <c r="O398" s="70"/>
      <c r="P398" s="70"/>
      <c r="Q398" s="70"/>
      <c r="R398" s="70"/>
      <c r="S398" s="70"/>
      <c r="T398" s="70"/>
    </row>
    <row r="399" spans="10:20" x14ac:dyDescent="0.25">
      <c r="J399" s="70"/>
      <c r="K399" s="70"/>
      <c r="L399" s="70"/>
      <c r="M399" s="70"/>
      <c r="N399" s="70"/>
      <c r="O399" s="70"/>
      <c r="P399" s="70"/>
      <c r="Q399" s="70"/>
      <c r="R399" s="70"/>
      <c r="S399" s="70"/>
      <c r="T399" s="70"/>
    </row>
    <row r="400" spans="10:20" x14ac:dyDescent="0.25">
      <c r="J400" s="70"/>
      <c r="K400" s="70"/>
      <c r="L400" s="70"/>
      <c r="M400" s="70"/>
      <c r="N400" s="70"/>
      <c r="O400" s="70"/>
      <c r="P400" s="70"/>
      <c r="Q400" s="70"/>
      <c r="R400" s="70"/>
      <c r="S400" s="70"/>
      <c r="T400" s="70"/>
    </row>
    <row r="401" spans="10:20" x14ac:dyDescent="0.25">
      <c r="J401" s="70"/>
      <c r="K401" s="70"/>
      <c r="L401" s="70"/>
      <c r="M401" s="70"/>
      <c r="N401" s="70"/>
      <c r="O401" s="70"/>
      <c r="P401" s="70"/>
      <c r="Q401" s="70"/>
      <c r="R401" s="70"/>
      <c r="S401" s="70"/>
      <c r="T401" s="70"/>
    </row>
    <row r="402" spans="10:20" x14ac:dyDescent="0.25">
      <c r="J402" s="70"/>
      <c r="K402" s="70"/>
      <c r="L402" s="70"/>
      <c r="M402" s="70"/>
      <c r="N402" s="70"/>
      <c r="O402" s="70"/>
      <c r="P402" s="70"/>
      <c r="Q402" s="70"/>
      <c r="R402" s="70"/>
      <c r="S402" s="70"/>
      <c r="T402" s="70"/>
    </row>
    <row r="403" spans="10:20" x14ac:dyDescent="0.25">
      <c r="J403" s="70"/>
      <c r="K403" s="70"/>
      <c r="L403" s="70"/>
      <c r="M403" s="70"/>
      <c r="N403" s="70"/>
      <c r="O403" s="70"/>
      <c r="P403" s="70"/>
      <c r="Q403" s="70"/>
      <c r="R403" s="70"/>
      <c r="S403" s="70"/>
      <c r="T403" s="70"/>
    </row>
    <row r="404" spans="10:20" x14ac:dyDescent="0.25">
      <c r="J404" s="70"/>
      <c r="K404" s="70"/>
      <c r="L404" s="70"/>
      <c r="M404" s="70"/>
      <c r="N404" s="70"/>
      <c r="O404" s="70"/>
      <c r="P404" s="70"/>
      <c r="Q404" s="70"/>
      <c r="R404" s="70"/>
      <c r="S404" s="70"/>
      <c r="T404" s="70"/>
    </row>
    <row r="405" spans="10:20" x14ac:dyDescent="0.25">
      <c r="J405" s="70"/>
      <c r="K405" s="70"/>
      <c r="L405" s="70"/>
      <c r="M405" s="70"/>
      <c r="N405" s="70"/>
      <c r="O405" s="70"/>
      <c r="P405" s="70"/>
      <c r="Q405" s="70"/>
      <c r="R405" s="70"/>
      <c r="S405" s="70"/>
      <c r="T405" s="70"/>
    </row>
    <row r="406" spans="10:20" x14ac:dyDescent="0.25">
      <c r="J406" s="70"/>
      <c r="K406" s="70"/>
      <c r="L406" s="70"/>
      <c r="M406" s="70"/>
      <c r="N406" s="70"/>
      <c r="O406" s="70"/>
      <c r="P406" s="70"/>
      <c r="Q406" s="70"/>
      <c r="R406" s="70"/>
      <c r="S406" s="70"/>
      <c r="T406" s="70"/>
    </row>
    <row r="407" spans="10:20" x14ac:dyDescent="0.25">
      <c r="J407" s="70"/>
      <c r="K407" s="70"/>
      <c r="L407" s="70"/>
      <c r="M407" s="70"/>
      <c r="N407" s="70"/>
      <c r="O407" s="70"/>
      <c r="P407" s="70"/>
      <c r="Q407" s="70"/>
      <c r="R407" s="70"/>
      <c r="S407" s="70"/>
      <c r="T407" s="70"/>
    </row>
    <row r="408" spans="10:20" x14ac:dyDescent="0.25">
      <c r="J408" s="70"/>
      <c r="K408" s="70"/>
      <c r="L408" s="70"/>
      <c r="M408" s="70"/>
      <c r="N408" s="70"/>
      <c r="O408" s="70"/>
      <c r="P408" s="70"/>
      <c r="Q408" s="70"/>
      <c r="R408" s="70"/>
      <c r="S408" s="70"/>
      <c r="T408" s="70"/>
    </row>
    <row r="409" spans="10:20" x14ac:dyDescent="0.25">
      <c r="J409" s="70"/>
      <c r="K409" s="70"/>
      <c r="L409" s="70"/>
      <c r="M409" s="70"/>
      <c r="N409" s="70"/>
      <c r="O409" s="70"/>
      <c r="P409" s="70"/>
      <c r="Q409" s="70"/>
      <c r="R409" s="70"/>
      <c r="S409" s="70"/>
      <c r="T409" s="70"/>
    </row>
    <row r="410" spans="10:20" x14ac:dyDescent="0.25">
      <c r="J410" s="70"/>
      <c r="K410" s="70"/>
      <c r="L410" s="70"/>
      <c r="M410" s="70"/>
      <c r="N410" s="70"/>
      <c r="O410" s="70"/>
      <c r="P410" s="70"/>
      <c r="Q410" s="70"/>
      <c r="R410" s="70"/>
      <c r="S410" s="70"/>
      <c r="T410" s="70"/>
    </row>
    <row r="411" spans="10:20" x14ac:dyDescent="0.25">
      <c r="J411" s="70"/>
      <c r="K411" s="70"/>
      <c r="L411" s="70"/>
      <c r="M411" s="70"/>
      <c r="N411" s="70"/>
      <c r="O411" s="70"/>
      <c r="P411" s="70"/>
      <c r="Q411" s="70"/>
      <c r="R411" s="70"/>
      <c r="S411" s="70"/>
      <c r="T411" s="70"/>
    </row>
    <row r="412" spans="10:20" x14ac:dyDescent="0.25">
      <c r="J412" s="70"/>
      <c r="K412" s="70"/>
      <c r="L412" s="70"/>
      <c r="M412" s="70"/>
      <c r="N412" s="70"/>
      <c r="O412" s="70"/>
      <c r="P412" s="70"/>
      <c r="Q412" s="70"/>
      <c r="R412" s="70"/>
      <c r="S412" s="70"/>
      <c r="T412" s="70"/>
    </row>
    <row r="413" spans="10:20" x14ac:dyDescent="0.25">
      <c r="J413" s="70"/>
      <c r="K413" s="70"/>
      <c r="L413" s="70"/>
      <c r="M413" s="70"/>
      <c r="N413" s="70"/>
      <c r="O413" s="70"/>
      <c r="P413" s="70"/>
      <c r="Q413" s="70"/>
      <c r="R413" s="70"/>
      <c r="S413" s="70"/>
      <c r="T413" s="70"/>
    </row>
    <row r="414" spans="10:20" x14ac:dyDescent="0.25">
      <c r="J414" s="70"/>
      <c r="K414" s="70"/>
      <c r="L414" s="70"/>
      <c r="M414" s="70"/>
      <c r="N414" s="70"/>
      <c r="O414" s="70"/>
      <c r="P414" s="70"/>
      <c r="Q414" s="70"/>
      <c r="R414" s="70"/>
      <c r="S414" s="70"/>
      <c r="T414" s="70"/>
    </row>
    <row r="415" spans="10:20" x14ac:dyDescent="0.25">
      <c r="J415" s="70"/>
      <c r="K415" s="70"/>
      <c r="L415" s="70"/>
      <c r="M415" s="70"/>
      <c r="N415" s="70"/>
      <c r="O415" s="70"/>
      <c r="P415" s="70"/>
      <c r="Q415" s="70"/>
      <c r="R415" s="70"/>
      <c r="S415" s="70"/>
      <c r="T415" s="70"/>
    </row>
    <row r="416" spans="10:20" x14ac:dyDescent="0.25">
      <c r="J416" s="70"/>
      <c r="K416" s="70"/>
      <c r="L416" s="70"/>
      <c r="M416" s="70"/>
      <c r="N416" s="70"/>
      <c r="O416" s="70"/>
      <c r="P416" s="70"/>
      <c r="Q416" s="70"/>
      <c r="R416" s="70"/>
      <c r="S416" s="70"/>
      <c r="T416" s="70"/>
    </row>
    <row r="417" spans="10:20" x14ac:dyDescent="0.25">
      <c r="J417" s="70"/>
      <c r="K417" s="70"/>
      <c r="L417" s="70"/>
      <c r="M417" s="70"/>
      <c r="N417" s="70"/>
      <c r="O417" s="70"/>
      <c r="P417" s="70"/>
      <c r="Q417" s="70"/>
      <c r="R417" s="70"/>
      <c r="S417" s="70"/>
      <c r="T417" s="70"/>
    </row>
    <row r="418" spans="10:20" x14ac:dyDescent="0.25">
      <c r="J418" s="70"/>
      <c r="K418" s="70"/>
      <c r="L418" s="70"/>
      <c r="M418" s="70"/>
      <c r="N418" s="70"/>
      <c r="O418" s="70"/>
      <c r="P418" s="70"/>
      <c r="Q418" s="70"/>
      <c r="R418" s="70"/>
      <c r="S418" s="70"/>
      <c r="T418" s="70"/>
    </row>
    <row r="419" spans="10:20" x14ac:dyDescent="0.25">
      <c r="J419" s="70"/>
      <c r="K419" s="70"/>
      <c r="L419" s="70"/>
      <c r="M419" s="70"/>
      <c r="N419" s="70"/>
      <c r="O419" s="70"/>
      <c r="P419" s="70"/>
      <c r="Q419" s="70"/>
      <c r="R419" s="70"/>
      <c r="S419" s="70"/>
      <c r="T419" s="70"/>
    </row>
    <row r="420" spans="10:20" x14ac:dyDescent="0.25">
      <c r="J420" s="70"/>
      <c r="K420" s="70"/>
      <c r="L420" s="70"/>
      <c r="M420" s="70"/>
      <c r="N420" s="70"/>
      <c r="O420" s="70"/>
      <c r="P420" s="70"/>
      <c r="Q420" s="70"/>
      <c r="R420" s="70"/>
      <c r="S420" s="70"/>
      <c r="T420" s="70"/>
    </row>
    <row r="421" spans="10:20" x14ac:dyDescent="0.25">
      <c r="J421" s="70"/>
      <c r="K421" s="70"/>
      <c r="L421" s="70"/>
      <c r="M421" s="70"/>
      <c r="N421" s="70"/>
      <c r="O421" s="70"/>
      <c r="P421" s="70"/>
      <c r="Q421" s="70"/>
      <c r="R421" s="70"/>
      <c r="S421" s="70"/>
      <c r="T421" s="70"/>
    </row>
    <row r="422" spans="10:20" x14ac:dyDescent="0.25">
      <c r="J422" s="70"/>
      <c r="K422" s="70"/>
      <c r="L422" s="70"/>
      <c r="M422" s="70"/>
      <c r="N422" s="70"/>
      <c r="O422" s="70"/>
      <c r="P422" s="70"/>
      <c r="Q422" s="70"/>
      <c r="R422" s="70"/>
      <c r="S422" s="70"/>
      <c r="T422" s="70"/>
    </row>
    <row r="423" spans="10:20" x14ac:dyDescent="0.25">
      <c r="J423" s="70"/>
      <c r="K423" s="70"/>
      <c r="L423" s="70"/>
      <c r="M423" s="70"/>
      <c r="N423" s="70"/>
      <c r="O423" s="70"/>
      <c r="P423" s="70"/>
      <c r="Q423" s="70"/>
      <c r="R423" s="70"/>
      <c r="S423" s="70"/>
      <c r="T423" s="70"/>
    </row>
    <row r="424" spans="10:20" x14ac:dyDescent="0.25">
      <c r="J424" s="70"/>
      <c r="K424" s="70"/>
      <c r="L424" s="70"/>
      <c r="M424" s="70"/>
      <c r="N424" s="70"/>
      <c r="O424" s="70"/>
      <c r="P424" s="70"/>
      <c r="Q424" s="70"/>
      <c r="R424" s="70"/>
      <c r="S424" s="70"/>
      <c r="T424" s="70"/>
    </row>
    <row r="425" spans="10:20" x14ac:dyDescent="0.25">
      <c r="J425" s="70"/>
      <c r="K425" s="70"/>
      <c r="L425" s="70"/>
      <c r="M425" s="70"/>
      <c r="N425" s="70"/>
      <c r="O425" s="70"/>
      <c r="P425" s="70"/>
      <c r="Q425" s="70"/>
      <c r="R425" s="70"/>
      <c r="S425" s="70"/>
      <c r="T425" s="70"/>
    </row>
  </sheetData>
  <sheetProtection formatCells="0" formatColumns="0" formatRows="0" insertColumns="0" insertRows="0" insertHyperlinks="0" deleteColumns="0" deleteRows="0" sort="0" autoFilter="0" pivotTables="0"/>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320EC-90A2-407B-9611-E65A5BDA8B69}">
  <sheetPr>
    <tabColor rgb="FFA3C5BF"/>
  </sheetPr>
  <dimension ref="A3:AA41"/>
  <sheetViews>
    <sheetView showGridLines="0" topLeftCell="A4" zoomScale="90" zoomScaleNormal="130" workbookViewId="0">
      <selection activeCell="N8" sqref="N8"/>
    </sheetView>
  </sheetViews>
  <sheetFormatPr defaultColWidth="8.85546875" defaultRowHeight="15" x14ac:dyDescent="0.25"/>
  <cols>
    <col min="1" max="1" width="16.140625" style="20" customWidth="1"/>
    <col min="2" max="2" width="31.85546875" style="20" customWidth="1"/>
    <col min="3" max="3" width="21.5703125" style="21" customWidth="1"/>
    <col min="4" max="4" width="21.5703125" style="20" customWidth="1"/>
    <col min="5" max="5" width="14.85546875" style="20" bestFit="1" customWidth="1"/>
    <col min="6" max="6" width="14.140625" style="20" customWidth="1"/>
    <col min="7" max="8" width="14.85546875" style="20" bestFit="1" customWidth="1"/>
    <col min="9" max="9" width="14.85546875" style="20" customWidth="1"/>
    <col min="10" max="10" width="14.140625" style="20" customWidth="1"/>
    <col min="11" max="18" width="14.85546875" style="20" bestFit="1" customWidth="1"/>
    <col min="19" max="27" width="11.42578125" style="20" bestFit="1" customWidth="1"/>
    <col min="28" max="16384" width="8.85546875" style="20"/>
  </cols>
  <sheetData>
    <row r="3" spans="1:27" ht="15" customHeight="1" x14ac:dyDescent="0.25">
      <c r="B3" s="16" t="s">
        <v>228</v>
      </c>
      <c r="C3" s="15"/>
      <c r="E3" s="13"/>
      <c r="F3" s="13"/>
      <c r="G3" s="13"/>
      <c r="H3" s="13"/>
      <c r="I3" s="13"/>
      <c r="J3" s="13"/>
      <c r="K3" s="13"/>
    </row>
    <row r="4" spans="1:27" ht="109.5" customHeight="1" x14ac:dyDescent="0.25">
      <c r="B4" s="193" t="s">
        <v>305</v>
      </c>
      <c r="C4" s="193"/>
      <c r="D4" s="193"/>
      <c r="E4" s="193"/>
      <c r="F4" s="193"/>
      <c r="G4" s="193"/>
      <c r="H4" s="193"/>
      <c r="I4" s="193"/>
      <c r="J4" s="193"/>
      <c r="K4" s="193"/>
    </row>
    <row r="5" spans="1:27" ht="30" x14ac:dyDescent="0.25">
      <c r="B5" s="29"/>
      <c r="C5" s="28" t="s">
        <v>86</v>
      </c>
      <c r="D5" s="69" t="s">
        <v>229</v>
      </c>
      <c r="E5" s="35" t="s">
        <v>10</v>
      </c>
      <c r="F5" s="35" t="s">
        <v>12</v>
      </c>
      <c r="G5" s="35" t="s">
        <v>38</v>
      </c>
      <c r="H5" s="35" t="s">
        <v>36</v>
      </c>
      <c r="I5" s="35" t="s">
        <v>19</v>
      </c>
      <c r="J5" s="35" t="s">
        <v>21</v>
      </c>
      <c r="K5" s="35" t="s">
        <v>23</v>
      </c>
    </row>
    <row r="6" spans="1:27" ht="33.75" x14ac:dyDescent="0.2">
      <c r="B6" s="23" t="s">
        <v>281</v>
      </c>
      <c r="C6" s="169"/>
      <c r="D6" s="170"/>
      <c r="E6" s="171" t="s">
        <v>280</v>
      </c>
      <c r="F6" s="172" t="s">
        <v>234</v>
      </c>
      <c r="G6" s="173"/>
      <c r="H6" s="173"/>
      <c r="I6" s="192" t="s">
        <v>235</v>
      </c>
      <c r="J6" s="192"/>
      <c r="K6" s="173"/>
    </row>
    <row r="7" spans="1:27" x14ac:dyDescent="0.25">
      <c r="B7" s="14" t="s">
        <v>230</v>
      </c>
      <c r="C7" s="15" t="s">
        <v>90</v>
      </c>
      <c r="D7" s="16">
        <v>93.3</v>
      </c>
      <c r="E7" s="128">
        <v>95.628110000000007</v>
      </c>
      <c r="F7" s="129">
        <v>22.275539999999999</v>
      </c>
      <c r="G7" s="125">
        <v>77.168869999999998</v>
      </c>
      <c r="H7" s="125">
        <v>84.343180000000004</v>
      </c>
      <c r="I7" s="125">
        <v>20.619759999999999</v>
      </c>
      <c r="J7" s="126">
        <v>27.794070000000001</v>
      </c>
      <c r="K7" s="17" t="s">
        <v>84</v>
      </c>
      <c r="N7" s="20">
        <f>D7*E8</f>
        <v>3.7506599999999999</v>
      </c>
    </row>
    <row r="8" spans="1:27" x14ac:dyDescent="0.25">
      <c r="B8" s="112" t="s">
        <v>231</v>
      </c>
      <c r="C8" s="112" t="s">
        <v>232</v>
      </c>
      <c r="D8" s="112"/>
      <c r="E8" s="127">
        <v>4.02E-2</v>
      </c>
      <c r="F8" s="127">
        <v>3.7199999999999997E-2</v>
      </c>
      <c r="G8" s="127">
        <v>4.8000000000000001E-2</v>
      </c>
      <c r="H8" s="127">
        <v>4.8000000000000001E-2</v>
      </c>
      <c r="I8" s="127">
        <v>4.8000000000000001E-2</v>
      </c>
      <c r="J8" s="127">
        <v>4.8000000000000001E-2</v>
      </c>
      <c r="K8" s="112" t="s">
        <v>233</v>
      </c>
    </row>
    <row r="9" spans="1:27" ht="33.75" x14ac:dyDescent="0.25">
      <c r="B9" s="174" t="s">
        <v>236</v>
      </c>
      <c r="C9" s="175"/>
      <c r="D9" s="176" t="s">
        <v>237</v>
      </c>
      <c r="E9" s="177" t="s">
        <v>238</v>
      </c>
      <c r="F9" s="191" t="s">
        <v>239</v>
      </c>
      <c r="G9" s="191"/>
      <c r="H9" s="191"/>
      <c r="I9" s="191"/>
      <c r="J9" s="191"/>
      <c r="K9" s="178" t="s">
        <v>5</v>
      </c>
    </row>
    <row r="10" spans="1:27" x14ac:dyDescent="0.25">
      <c r="B10" s="13"/>
      <c r="C10" s="15"/>
      <c r="D10" s="14"/>
      <c r="E10" s="14"/>
      <c r="F10" s="14"/>
      <c r="G10" s="14"/>
      <c r="H10" s="14"/>
      <c r="I10" s="14"/>
      <c r="J10" s="14"/>
      <c r="K10" s="13"/>
      <c r="L10" s="13"/>
    </row>
    <row r="11" spans="1:27" x14ac:dyDescent="0.25">
      <c r="B11" s="16" t="s">
        <v>240</v>
      </c>
      <c r="C11" s="15"/>
      <c r="D11" s="14"/>
      <c r="E11" s="14"/>
      <c r="F11" s="14"/>
      <c r="G11" s="14"/>
      <c r="H11" s="14"/>
      <c r="I11" s="14"/>
      <c r="J11" s="14"/>
      <c r="K11" s="13"/>
      <c r="L11" s="13"/>
    </row>
    <row r="12" spans="1:27" x14ac:dyDescent="0.25">
      <c r="B12" s="27" t="s">
        <v>241</v>
      </c>
      <c r="C12" s="28" t="s">
        <v>236</v>
      </c>
      <c r="D12" s="28" t="s">
        <v>242</v>
      </c>
      <c r="E12" s="29">
        <v>2028</v>
      </c>
      <c r="F12" s="29">
        <v>2029</v>
      </c>
      <c r="G12" s="29">
        <v>2030</v>
      </c>
      <c r="H12" s="29">
        <v>2031</v>
      </c>
      <c r="I12" s="29">
        <v>2032</v>
      </c>
      <c r="J12" s="29">
        <v>2033</v>
      </c>
      <c r="K12" s="29">
        <v>2034</v>
      </c>
      <c r="L12" s="29">
        <v>2035</v>
      </c>
      <c r="M12" s="29">
        <v>2036</v>
      </c>
      <c r="N12" s="29">
        <v>2037</v>
      </c>
      <c r="O12" s="29">
        <v>2038</v>
      </c>
      <c r="P12" s="29">
        <v>2039</v>
      </c>
      <c r="Q12" s="29">
        <v>2040</v>
      </c>
      <c r="R12" s="29">
        <v>2041</v>
      </c>
      <c r="S12" s="29">
        <v>2042</v>
      </c>
      <c r="T12" s="29">
        <v>2043</v>
      </c>
      <c r="U12" s="29">
        <v>2044</v>
      </c>
      <c r="V12" s="29">
        <v>2045</v>
      </c>
      <c r="W12" s="29">
        <v>2046</v>
      </c>
      <c r="X12" s="29">
        <v>2047</v>
      </c>
      <c r="Y12" s="29">
        <v>2048</v>
      </c>
      <c r="Z12" s="29">
        <v>2049</v>
      </c>
      <c r="AA12" s="29">
        <v>2050</v>
      </c>
    </row>
    <row r="13" spans="1:27" x14ac:dyDescent="0.25">
      <c r="A13" s="119"/>
      <c r="B13" s="110" t="s">
        <v>87</v>
      </c>
      <c r="C13" s="111" t="s">
        <v>237</v>
      </c>
      <c r="D13" s="23" t="s">
        <v>243</v>
      </c>
      <c r="E13" s="110">
        <v>4.0000000000000036E-2</v>
      </c>
      <c r="F13" s="110">
        <v>6.0000000000000053E-2</v>
      </c>
      <c r="G13" s="110">
        <v>7.999999999999996E-2</v>
      </c>
      <c r="H13" s="110">
        <v>0.124</v>
      </c>
      <c r="I13" s="110">
        <v>0.16800000000000004</v>
      </c>
      <c r="J13" s="110">
        <v>0.21199999999999997</v>
      </c>
      <c r="K13" s="110">
        <v>0.25600000000000001</v>
      </c>
      <c r="L13" s="110">
        <v>0.30000000000001137</v>
      </c>
      <c r="M13" s="110">
        <v>0.37000000000000455</v>
      </c>
      <c r="N13" s="110">
        <v>0.43999999999999773</v>
      </c>
      <c r="O13" s="110">
        <v>0.51000000000001933</v>
      </c>
      <c r="P13" s="110">
        <v>0.58000000000001251</v>
      </c>
      <c r="Q13" s="110">
        <v>0.65000000000000568</v>
      </c>
      <c r="R13" s="110">
        <v>0.67999999999999972</v>
      </c>
      <c r="S13" s="110">
        <v>0.71000000000000085</v>
      </c>
      <c r="T13" s="110">
        <v>0.74000000000000199</v>
      </c>
      <c r="U13" s="110">
        <v>0.77000000000000313</v>
      </c>
      <c r="V13" s="110">
        <v>0.79999999999999716</v>
      </c>
      <c r="W13" s="110">
        <v>0.82999999999999829</v>
      </c>
      <c r="X13" s="110">
        <v>0.85999999999999943</v>
      </c>
      <c r="Y13" s="110">
        <v>0.89000000000000057</v>
      </c>
      <c r="Z13" s="110">
        <v>0.92000000000000171</v>
      </c>
      <c r="AA13" s="110">
        <v>0.95000000000000284</v>
      </c>
    </row>
    <row r="14" spans="1:27" x14ac:dyDescent="0.25">
      <c r="B14" s="13" t="s">
        <v>91</v>
      </c>
      <c r="C14" s="15" t="s">
        <v>237</v>
      </c>
      <c r="D14" s="163" t="s">
        <v>243</v>
      </c>
      <c r="E14" s="26">
        <v>0.17000000000000004</v>
      </c>
      <c r="F14" s="26">
        <v>0.19000000000000006</v>
      </c>
      <c r="G14" s="26">
        <v>0.20999999999999996</v>
      </c>
      <c r="H14" s="26">
        <v>0.254</v>
      </c>
      <c r="I14" s="26">
        <v>0.29800000000000004</v>
      </c>
      <c r="J14" s="26">
        <v>0.34199999999999997</v>
      </c>
      <c r="K14" s="26">
        <v>0.38600000000000001</v>
      </c>
      <c r="L14" s="26">
        <v>0.43000000000001137</v>
      </c>
      <c r="M14" s="26">
        <v>0.50000000000000455</v>
      </c>
      <c r="N14" s="26">
        <v>0.56999999999999773</v>
      </c>
      <c r="O14" s="26">
        <v>0.64000000000001933</v>
      </c>
      <c r="P14" s="26">
        <v>0.71000000000001251</v>
      </c>
      <c r="Q14" s="26">
        <v>0.78000000000000569</v>
      </c>
      <c r="R14" s="26">
        <v>0.80999999999999972</v>
      </c>
      <c r="S14" s="26">
        <v>0.84000000000000086</v>
      </c>
      <c r="T14" s="26">
        <v>0.87000000000000199</v>
      </c>
      <c r="U14" s="26">
        <v>0.90000000000000313</v>
      </c>
      <c r="V14" s="26">
        <v>0.92999999999999716</v>
      </c>
      <c r="W14" s="26">
        <v>0.9599999999999983</v>
      </c>
      <c r="X14" s="26">
        <v>0.98999999999999944</v>
      </c>
      <c r="Y14" s="26">
        <v>1</v>
      </c>
      <c r="Z14" s="26">
        <v>1</v>
      </c>
      <c r="AA14" s="26">
        <v>1</v>
      </c>
    </row>
    <row r="15" spans="1:27" x14ac:dyDescent="0.25">
      <c r="B15" s="31" t="s">
        <v>244</v>
      </c>
      <c r="C15" s="133" t="str">
        <f>'CCC Summary'!$C$14</f>
        <v>Fixed Tier 2 RU at 380 USD/tCO2eq</v>
      </c>
      <c r="D15" s="23" t="s">
        <v>245</v>
      </c>
      <c r="E15" s="110">
        <f t="shared" ref="E15:AA15" si="0">INDEX($B$24:$AA$26,MATCH($C$15,$B$24:$B$26,0),MATCH(E$12,$B$24:$AA$24,0))</f>
        <v>380</v>
      </c>
      <c r="F15" s="110">
        <f t="shared" si="0"/>
        <v>380</v>
      </c>
      <c r="G15" s="110">
        <f t="shared" si="0"/>
        <v>380</v>
      </c>
      <c r="H15" s="110">
        <f t="shared" si="0"/>
        <v>380</v>
      </c>
      <c r="I15" s="110">
        <f t="shared" si="0"/>
        <v>380</v>
      </c>
      <c r="J15" s="110">
        <f t="shared" si="0"/>
        <v>380</v>
      </c>
      <c r="K15" s="110">
        <f t="shared" si="0"/>
        <v>380</v>
      </c>
      <c r="L15" s="110">
        <f t="shared" si="0"/>
        <v>380</v>
      </c>
      <c r="M15" s="110">
        <f t="shared" si="0"/>
        <v>380</v>
      </c>
      <c r="N15" s="110">
        <f t="shared" si="0"/>
        <v>380</v>
      </c>
      <c r="O15" s="110">
        <f t="shared" si="0"/>
        <v>380</v>
      </c>
      <c r="P15" s="110">
        <f t="shared" si="0"/>
        <v>380</v>
      </c>
      <c r="Q15" s="110">
        <f t="shared" si="0"/>
        <v>380</v>
      </c>
      <c r="R15" s="110">
        <f t="shared" si="0"/>
        <v>380</v>
      </c>
      <c r="S15" s="110">
        <f t="shared" si="0"/>
        <v>380</v>
      </c>
      <c r="T15" s="110">
        <f t="shared" si="0"/>
        <v>380</v>
      </c>
      <c r="U15" s="110">
        <f t="shared" si="0"/>
        <v>380</v>
      </c>
      <c r="V15" s="110">
        <f t="shared" si="0"/>
        <v>380</v>
      </c>
      <c r="W15" s="110">
        <f t="shared" si="0"/>
        <v>380</v>
      </c>
      <c r="X15" s="110">
        <f t="shared" si="0"/>
        <v>380</v>
      </c>
      <c r="Y15" s="110">
        <f t="shared" si="0"/>
        <v>380</v>
      </c>
      <c r="Z15" s="110">
        <f t="shared" si="0"/>
        <v>380</v>
      </c>
      <c r="AA15" s="110">
        <f t="shared" si="0"/>
        <v>380</v>
      </c>
    </row>
    <row r="16" spans="1:27" x14ac:dyDescent="0.25">
      <c r="B16" s="13" t="s">
        <v>246</v>
      </c>
      <c r="C16" s="15"/>
      <c r="D16" s="163" t="s">
        <v>245</v>
      </c>
      <c r="E16" s="26">
        <v>100</v>
      </c>
      <c r="F16" s="26">
        <v>100</v>
      </c>
      <c r="G16" s="26">
        <v>100</v>
      </c>
      <c r="H16" s="26">
        <v>100</v>
      </c>
      <c r="I16" s="26">
        <v>100</v>
      </c>
      <c r="J16" s="26">
        <v>100</v>
      </c>
      <c r="K16" s="26">
        <v>100</v>
      </c>
      <c r="L16" s="26">
        <v>100</v>
      </c>
      <c r="M16" s="26">
        <v>100</v>
      </c>
      <c r="N16" s="26">
        <v>100</v>
      </c>
      <c r="O16" s="26">
        <v>100</v>
      </c>
      <c r="P16" s="26">
        <v>100</v>
      </c>
      <c r="Q16" s="26">
        <v>100</v>
      </c>
      <c r="R16" s="26">
        <v>100</v>
      </c>
      <c r="S16" s="26">
        <v>100</v>
      </c>
      <c r="T16" s="26">
        <v>100</v>
      </c>
      <c r="U16" s="26">
        <v>100</v>
      </c>
      <c r="V16" s="26">
        <v>100</v>
      </c>
      <c r="W16" s="26">
        <v>100</v>
      </c>
      <c r="X16" s="26">
        <v>100</v>
      </c>
      <c r="Y16" s="26">
        <v>100</v>
      </c>
      <c r="Z16" s="26">
        <v>100</v>
      </c>
      <c r="AA16" s="26">
        <v>100</v>
      </c>
    </row>
    <row r="17" spans="1:27" x14ac:dyDescent="0.25">
      <c r="B17" s="31" t="s">
        <v>247</v>
      </c>
      <c r="C17" s="111"/>
      <c r="D17" s="23" t="s">
        <v>248</v>
      </c>
      <c r="E17" s="110">
        <v>19</v>
      </c>
      <c r="F17" s="110">
        <v>19</v>
      </c>
      <c r="G17" s="110">
        <v>19</v>
      </c>
      <c r="H17" s="110">
        <v>19</v>
      </c>
      <c r="I17" s="110">
        <v>19</v>
      </c>
      <c r="J17" s="110">
        <v>19</v>
      </c>
      <c r="K17" s="110">
        <v>19</v>
      </c>
      <c r="L17" s="110">
        <v>14</v>
      </c>
      <c r="M17" s="110">
        <v>14</v>
      </c>
      <c r="N17" s="110">
        <v>14</v>
      </c>
      <c r="O17" s="110">
        <v>14</v>
      </c>
      <c r="P17" s="110">
        <v>14</v>
      </c>
      <c r="Q17" s="110">
        <v>14</v>
      </c>
      <c r="R17" s="110">
        <v>14</v>
      </c>
      <c r="S17" s="110">
        <v>14</v>
      </c>
      <c r="T17" s="110">
        <v>14</v>
      </c>
      <c r="U17" s="110">
        <v>14</v>
      </c>
      <c r="V17" s="110">
        <v>14</v>
      </c>
      <c r="W17" s="110">
        <v>14</v>
      </c>
      <c r="X17" s="110">
        <v>14</v>
      </c>
      <c r="Y17" s="110">
        <v>14</v>
      </c>
      <c r="Z17" s="110">
        <v>14</v>
      </c>
      <c r="AA17" s="110">
        <v>14</v>
      </c>
    </row>
    <row r="18" spans="1:27" x14ac:dyDescent="0.25">
      <c r="A18" s="119"/>
      <c r="B18" s="13" t="s">
        <v>9</v>
      </c>
      <c r="C18" s="15" t="s">
        <v>249</v>
      </c>
      <c r="D18" s="163" t="s">
        <v>245</v>
      </c>
      <c r="E18" s="26">
        <v>0</v>
      </c>
      <c r="F18" s="26">
        <v>0</v>
      </c>
      <c r="G18" s="26">
        <v>232</v>
      </c>
      <c r="H18" s="26">
        <v>232</v>
      </c>
      <c r="I18" s="26">
        <v>232</v>
      </c>
      <c r="J18" s="26">
        <v>232</v>
      </c>
      <c r="K18" s="26">
        <v>232</v>
      </c>
      <c r="L18" s="26">
        <v>145</v>
      </c>
      <c r="M18" s="26">
        <v>145</v>
      </c>
      <c r="N18" s="26">
        <v>145</v>
      </c>
      <c r="O18" s="26">
        <v>145</v>
      </c>
      <c r="P18" s="26">
        <v>145</v>
      </c>
      <c r="Q18" s="26">
        <v>61</v>
      </c>
      <c r="R18" s="26">
        <v>61</v>
      </c>
      <c r="S18" s="26">
        <v>61</v>
      </c>
      <c r="T18" s="26">
        <v>61</v>
      </c>
      <c r="U18" s="26">
        <v>61</v>
      </c>
      <c r="V18" s="26">
        <v>0</v>
      </c>
      <c r="W18" s="26">
        <v>0</v>
      </c>
      <c r="X18" s="26">
        <v>0</v>
      </c>
      <c r="Y18" s="26">
        <v>0</v>
      </c>
      <c r="Z18" s="26">
        <v>0</v>
      </c>
      <c r="AA18" s="26">
        <v>0</v>
      </c>
    </row>
    <row r="19" spans="1:27" x14ac:dyDescent="0.25">
      <c r="B19" s="31" t="s">
        <v>11</v>
      </c>
      <c r="C19" s="30" t="s">
        <v>249</v>
      </c>
      <c r="D19" s="23" t="s">
        <v>245</v>
      </c>
      <c r="E19" s="110">
        <v>0</v>
      </c>
      <c r="F19" s="110">
        <v>0</v>
      </c>
      <c r="G19" s="110">
        <v>270</v>
      </c>
      <c r="H19" s="110">
        <v>270</v>
      </c>
      <c r="I19" s="110">
        <v>270</v>
      </c>
      <c r="J19" s="110">
        <v>270</v>
      </c>
      <c r="K19" s="110">
        <v>270</v>
      </c>
      <c r="L19" s="110">
        <v>177</v>
      </c>
      <c r="M19" s="110">
        <v>177</v>
      </c>
      <c r="N19" s="110">
        <v>177</v>
      </c>
      <c r="O19" s="110">
        <v>177</v>
      </c>
      <c r="P19" s="110">
        <v>177</v>
      </c>
      <c r="Q19" s="110">
        <v>107</v>
      </c>
      <c r="R19" s="110">
        <v>107</v>
      </c>
      <c r="S19" s="110">
        <v>107</v>
      </c>
      <c r="T19" s="110">
        <v>107</v>
      </c>
      <c r="U19" s="110">
        <v>107</v>
      </c>
      <c r="V19" s="110">
        <v>0</v>
      </c>
      <c r="W19" s="110">
        <v>0</v>
      </c>
      <c r="X19" s="110">
        <v>0</v>
      </c>
      <c r="Y19" s="110">
        <v>0</v>
      </c>
      <c r="Z19" s="110">
        <v>0</v>
      </c>
      <c r="AA19" s="110">
        <v>0</v>
      </c>
    </row>
    <row r="20" spans="1:27" ht="13.5" customHeight="1" x14ac:dyDescent="0.25">
      <c r="B20" s="13" t="s">
        <v>272</v>
      </c>
      <c r="C20" s="15"/>
      <c r="D20" s="163" t="s">
        <v>245</v>
      </c>
      <c r="E20" s="26">
        <v>0</v>
      </c>
      <c r="F20" s="26">
        <v>0</v>
      </c>
      <c r="G20" s="26">
        <v>350</v>
      </c>
      <c r="H20" s="26">
        <v>300</v>
      </c>
      <c r="I20" s="26">
        <v>250</v>
      </c>
      <c r="J20" s="26">
        <v>200</v>
      </c>
      <c r="K20" s="26">
        <v>150</v>
      </c>
      <c r="L20" s="26">
        <v>100</v>
      </c>
      <c r="M20" s="26">
        <v>85</v>
      </c>
      <c r="N20" s="26">
        <v>70</v>
      </c>
      <c r="O20" s="26">
        <v>55</v>
      </c>
      <c r="P20" s="26">
        <v>40</v>
      </c>
      <c r="Q20" s="26">
        <v>25</v>
      </c>
      <c r="R20" s="26">
        <v>23</v>
      </c>
      <c r="S20" s="26">
        <v>21</v>
      </c>
      <c r="T20" s="26">
        <v>19</v>
      </c>
      <c r="U20" s="26">
        <v>17</v>
      </c>
      <c r="V20" s="26">
        <v>15</v>
      </c>
      <c r="W20" s="26">
        <v>13</v>
      </c>
      <c r="X20" s="26">
        <v>11</v>
      </c>
      <c r="Y20" s="26">
        <v>9</v>
      </c>
      <c r="Z20" s="26">
        <v>7</v>
      </c>
      <c r="AA20" s="26">
        <v>5</v>
      </c>
    </row>
    <row r="21" spans="1:27" ht="13.5" customHeight="1" x14ac:dyDescent="0.25">
      <c r="B21" s="31" t="s">
        <v>273</v>
      </c>
      <c r="C21" s="30"/>
      <c r="D21" s="23" t="s">
        <v>245</v>
      </c>
      <c r="E21" s="110">
        <f t="shared" ref="E21:AA21" si="1">E20/2</f>
        <v>0</v>
      </c>
      <c r="F21" s="110">
        <f t="shared" si="1"/>
        <v>0</v>
      </c>
      <c r="G21" s="110">
        <f t="shared" si="1"/>
        <v>175</v>
      </c>
      <c r="H21" s="110">
        <f t="shared" si="1"/>
        <v>150</v>
      </c>
      <c r="I21" s="110">
        <f t="shared" si="1"/>
        <v>125</v>
      </c>
      <c r="J21" s="110">
        <f t="shared" si="1"/>
        <v>100</v>
      </c>
      <c r="K21" s="110">
        <f t="shared" si="1"/>
        <v>75</v>
      </c>
      <c r="L21" s="110">
        <f t="shared" si="1"/>
        <v>50</v>
      </c>
      <c r="M21" s="110">
        <f t="shared" si="1"/>
        <v>42.5</v>
      </c>
      <c r="N21" s="110">
        <f t="shared" si="1"/>
        <v>35</v>
      </c>
      <c r="O21" s="110">
        <f t="shared" si="1"/>
        <v>27.5</v>
      </c>
      <c r="P21" s="110">
        <f t="shared" si="1"/>
        <v>20</v>
      </c>
      <c r="Q21" s="110">
        <f t="shared" si="1"/>
        <v>12.5</v>
      </c>
      <c r="R21" s="110">
        <f t="shared" si="1"/>
        <v>11.5</v>
      </c>
      <c r="S21" s="110">
        <f t="shared" si="1"/>
        <v>10.5</v>
      </c>
      <c r="T21" s="110">
        <f t="shared" si="1"/>
        <v>9.5</v>
      </c>
      <c r="U21" s="110">
        <f t="shared" si="1"/>
        <v>8.5</v>
      </c>
      <c r="V21" s="110">
        <f t="shared" si="1"/>
        <v>7.5</v>
      </c>
      <c r="W21" s="110">
        <f t="shared" si="1"/>
        <v>6.5</v>
      </c>
      <c r="X21" s="110">
        <f t="shared" si="1"/>
        <v>5.5</v>
      </c>
      <c r="Y21" s="110">
        <f t="shared" si="1"/>
        <v>4.5</v>
      </c>
      <c r="Z21" s="110">
        <f t="shared" si="1"/>
        <v>3.5</v>
      </c>
      <c r="AA21" s="110">
        <f t="shared" si="1"/>
        <v>2.5</v>
      </c>
    </row>
    <row r="22" spans="1:27" x14ac:dyDescent="0.25">
      <c r="B22" s="20" t="s">
        <v>271</v>
      </c>
      <c r="C22" s="20"/>
      <c r="D22" s="163" t="s">
        <v>245</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row>
    <row r="23" spans="1:27" x14ac:dyDescent="0.25">
      <c r="B23" s="139"/>
      <c r="C23" s="140"/>
      <c r="D23" s="141"/>
      <c r="E23" s="142"/>
      <c r="F23" s="142"/>
      <c r="G23" s="142"/>
      <c r="H23" s="142"/>
      <c r="I23" s="142"/>
      <c r="J23" s="142"/>
      <c r="K23" s="142"/>
      <c r="L23" s="142"/>
      <c r="M23" s="142"/>
      <c r="N23" s="142"/>
      <c r="O23" s="142"/>
      <c r="P23" s="142"/>
      <c r="Q23" s="142"/>
      <c r="R23" s="142"/>
      <c r="S23" s="142"/>
      <c r="T23" s="142"/>
      <c r="U23" s="142"/>
      <c r="V23" s="142"/>
      <c r="W23" s="142"/>
      <c r="X23" s="142"/>
      <c r="Y23" s="142"/>
      <c r="Z23" s="142"/>
      <c r="AA23" s="142"/>
    </row>
    <row r="24" spans="1:27" x14ac:dyDescent="0.25">
      <c r="B24" s="136" t="s">
        <v>250</v>
      </c>
      <c r="C24" s="33"/>
      <c r="D24" s="137" t="s">
        <v>98</v>
      </c>
      <c r="E24" s="138">
        <v>2028</v>
      </c>
      <c r="F24" s="138">
        <v>2029</v>
      </c>
      <c r="G24" s="138">
        <v>2030</v>
      </c>
      <c r="H24" s="138">
        <v>2031</v>
      </c>
      <c r="I24" s="138">
        <v>2032</v>
      </c>
      <c r="J24" s="138">
        <v>2033</v>
      </c>
      <c r="K24" s="138">
        <v>2034</v>
      </c>
      <c r="L24" s="138">
        <v>2035</v>
      </c>
      <c r="M24" s="138">
        <v>2036</v>
      </c>
      <c r="N24" s="138">
        <v>2037</v>
      </c>
      <c r="O24" s="138">
        <v>2038</v>
      </c>
      <c r="P24" s="138">
        <v>2039</v>
      </c>
      <c r="Q24" s="138">
        <v>2040</v>
      </c>
      <c r="R24" s="138">
        <v>2041</v>
      </c>
      <c r="S24" s="138">
        <v>2042</v>
      </c>
      <c r="T24" s="138">
        <v>2043</v>
      </c>
      <c r="U24" s="138">
        <v>2044</v>
      </c>
      <c r="V24" s="138">
        <v>2045</v>
      </c>
      <c r="W24" s="138">
        <v>2046</v>
      </c>
      <c r="X24" s="138">
        <v>2047</v>
      </c>
      <c r="Y24" s="138">
        <v>2048</v>
      </c>
      <c r="Z24" s="138">
        <v>2049</v>
      </c>
      <c r="AA24" s="138">
        <v>2050</v>
      </c>
    </row>
    <row r="25" spans="1:27" x14ac:dyDescent="0.25">
      <c r="B25" s="133" t="s">
        <v>275</v>
      </c>
      <c r="C25" s="133"/>
      <c r="D25" s="134">
        <v>380</v>
      </c>
      <c r="E25" s="135">
        <f t="shared" ref="E25:AA25" si="2">$D$25</f>
        <v>380</v>
      </c>
      <c r="F25" s="135">
        <f t="shared" si="2"/>
        <v>380</v>
      </c>
      <c r="G25" s="135">
        <f t="shared" si="2"/>
        <v>380</v>
      </c>
      <c r="H25" s="135">
        <f t="shared" si="2"/>
        <v>380</v>
      </c>
      <c r="I25" s="135">
        <f t="shared" si="2"/>
        <v>380</v>
      </c>
      <c r="J25" s="135">
        <f t="shared" si="2"/>
        <v>380</v>
      </c>
      <c r="K25" s="135">
        <f t="shared" si="2"/>
        <v>380</v>
      </c>
      <c r="L25" s="135">
        <f t="shared" si="2"/>
        <v>380</v>
      </c>
      <c r="M25" s="135">
        <f t="shared" si="2"/>
        <v>380</v>
      </c>
      <c r="N25" s="135">
        <f t="shared" si="2"/>
        <v>380</v>
      </c>
      <c r="O25" s="135">
        <f t="shared" si="2"/>
        <v>380</v>
      </c>
      <c r="P25" s="135">
        <f t="shared" si="2"/>
        <v>380</v>
      </c>
      <c r="Q25" s="135">
        <f t="shared" si="2"/>
        <v>380</v>
      </c>
      <c r="R25" s="135">
        <f t="shared" si="2"/>
        <v>380</v>
      </c>
      <c r="S25" s="135">
        <f t="shared" si="2"/>
        <v>380</v>
      </c>
      <c r="T25" s="135">
        <f t="shared" si="2"/>
        <v>380</v>
      </c>
      <c r="U25" s="135">
        <f t="shared" si="2"/>
        <v>380</v>
      </c>
      <c r="V25" s="135">
        <f t="shared" si="2"/>
        <v>380</v>
      </c>
      <c r="W25" s="135">
        <f t="shared" si="2"/>
        <v>380</v>
      </c>
      <c r="X25" s="135">
        <f t="shared" si="2"/>
        <v>380</v>
      </c>
      <c r="Y25" s="135">
        <f t="shared" si="2"/>
        <v>380</v>
      </c>
      <c r="Z25" s="135">
        <f t="shared" si="2"/>
        <v>380</v>
      </c>
      <c r="AA25" s="135">
        <f t="shared" si="2"/>
        <v>380</v>
      </c>
    </row>
    <row r="26" spans="1:27" x14ac:dyDescent="0.25">
      <c r="B26" s="146" t="s">
        <v>274</v>
      </c>
      <c r="C26" s="146"/>
      <c r="D26" s="147">
        <f>'CCC Summary'!$C$15</f>
        <v>500</v>
      </c>
      <c r="E26" s="162">
        <f>IF(E$12&lt;2031,Data!E$25,'CCC Summary'!#REF!)</f>
        <v>380</v>
      </c>
      <c r="F26" s="162">
        <f>IF(F$12&lt;2031,Data!F$25,'CCC Summary'!#REF!)</f>
        <v>380</v>
      </c>
      <c r="G26" s="162">
        <f>IF(G$12&lt;2031,Data!G$25,'CCC Summary'!#REF!)</f>
        <v>380</v>
      </c>
      <c r="H26" s="162">
        <f>IF(H$12&lt;2031,Data!H$25,$D$26)</f>
        <v>500</v>
      </c>
      <c r="I26" s="162">
        <f>IF(I$12&lt;2031,Data!I$25,$D$26)</f>
        <v>500</v>
      </c>
      <c r="J26" s="162">
        <f>IF(J$12&lt;2031,Data!J$25,$D$26)</f>
        <v>500</v>
      </c>
      <c r="K26" s="162">
        <f>IF(K$12&lt;2031,Data!K$25,$D$26)</f>
        <v>500</v>
      </c>
      <c r="L26" s="162">
        <f>IF(L$12&lt;2031,Data!L$25,$D$26)</f>
        <v>500</v>
      </c>
      <c r="M26" s="162">
        <f>IF(M$12&lt;2031,Data!M$25,$D$26)</f>
        <v>500</v>
      </c>
      <c r="N26" s="162">
        <f>IF(N$12&lt;2031,Data!N$25,$D$26)</f>
        <v>500</v>
      </c>
      <c r="O26" s="162">
        <f>IF(O$12&lt;2031,Data!O$25,$D$26)</f>
        <v>500</v>
      </c>
      <c r="P26" s="162">
        <f>IF(P$12&lt;2031,Data!P$25,$D$26)</f>
        <v>500</v>
      </c>
      <c r="Q26" s="162">
        <f>IF(Q$12&lt;2031,Data!Q$25,$D$26)</f>
        <v>500</v>
      </c>
      <c r="R26" s="162">
        <f>IF(R$12&lt;2031,Data!R$25,$D$26)</f>
        <v>500</v>
      </c>
      <c r="S26" s="162">
        <f>IF(S$12&lt;2031,Data!S$25,$D$26)</f>
        <v>500</v>
      </c>
      <c r="T26" s="162">
        <f>IF(T$12&lt;2031,Data!T$25,$D$26)</f>
        <v>500</v>
      </c>
      <c r="U26" s="162">
        <f>IF(U$12&lt;2031,Data!U$25,$D$26)</f>
        <v>500</v>
      </c>
      <c r="V26" s="162">
        <f>IF(V$12&lt;2031,Data!V$25,$D$26)</f>
        <v>500</v>
      </c>
      <c r="W26" s="162">
        <f>IF(W$12&lt;2031,Data!W$25,$D$26)</f>
        <v>500</v>
      </c>
      <c r="X26" s="162">
        <f>IF(X$12&lt;2031,Data!X$25,$D$26)</f>
        <v>500</v>
      </c>
      <c r="Y26" s="162">
        <f>IF(Y$12&lt;2031,Data!Y$25,$D$26)</f>
        <v>500</v>
      </c>
      <c r="Z26" s="162">
        <f>IF(Z$12&lt;2031,Data!Z$25,$D$26)</f>
        <v>500</v>
      </c>
      <c r="AA26" s="162">
        <f>IF(AA$12&lt;2031,Data!AA$25,$D$26)</f>
        <v>500</v>
      </c>
    </row>
    <row r="27" spans="1:27" x14ac:dyDescent="0.25">
      <c r="B27" s="13"/>
      <c r="C27" s="143"/>
      <c r="D27" s="144"/>
      <c r="E27" s="145"/>
      <c r="F27" s="145"/>
      <c r="G27" s="145"/>
      <c r="H27" s="145"/>
      <c r="I27" s="145"/>
      <c r="J27" s="145"/>
      <c r="K27" s="145"/>
      <c r="L27" s="145"/>
      <c r="M27" s="145"/>
      <c r="N27" s="145"/>
      <c r="O27" s="145"/>
      <c r="P27" s="145"/>
      <c r="Q27" s="145"/>
      <c r="R27" s="145"/>
      <c r="S27" s="145"/>
      <c r="T27" s="145"/>
      <c r="U27" s="145"/>
      <c r="V27" s="145"/>
      <c r="W27" s="145"/>
      <c r="X27" s="145"/>
      <c r="Y27" s="145"/>
      <c r="Z27" s="145"/>
      <c r="AA27" s="145"/>
    </row>
    <row r="28" spans="1:27" x14ac:dyDescent="0.25">
      <c r="B28" s="143"/>
      <c r="C28" s="143"/>
      <c r="D28" s="144"/>
      <c r="E28" s="145"/>
      <c r="F28" s="145"/>
      <c r="G28" s="145"/>
      <c r="H28" s="145"/>
      <c r="I28" s="145"/>
      <c r="J28" s="145"/>
      <c r="K28" s="145"/>
      <c r="L28" s="145"/>
      <c r="M28" s="145"/>
      <c r="N28" s="145"/>
      <c r="O28" s="145"/>
      <c r="P28" s="145"/>
      <c r="Q28" s="145"/>
      <c r="R28" s="145"/>
      <c r="S28" s="145"/>
      <c r="T28" s="145"/>
      <c r="U28" s="145"/>
      <c r="V28" s="145"/>
      <c r="W28" s="145"/>
      <c r="X28" s="145"/>
      <c r="Y28" s="145"/>
      <c r="Z28" s="145"/>
      <c r="AA28" s="145"/>
    </row>
    <row r="29" spans="1:27" x14ac:dyDescent="0.25">
      <c r="C29" s="132"/>
      <c r="D29" s="15"/>
      <c r="E29" s="26"/>
      <c r="F29" s="26"/>
      <c r="G29" s="26"/>
      <c r="H29" s="26"/>
      <c r="I29" s="26"/>
      <c r="J29" s="26"/>
      <c r="K29" s="26"/>
      <c r="L29" s="26"/>
      <c r="M29" s="26"/>
      <c r="N29" s="26"/>
      <c r="O29" s="26"/>
      <c r="P29" s="26"/>
      <c r="Q29" s="26"/>
      <c r="R29" s="26"/>
      <c r="S29" s="26"/>
      <c r="T29" s="26"/>
      <c r="U29" s="26"/>
      <c r="V29" s="26"/>
      <c r="W29" s="26"/>
      <c r="X29" s="26"/>
      <c r="Y29" s="26"/>
      <c r="Z29" s="26"/>
      <c r="AA29" s="26"/>
    </row>
    <row r="30" spans="1:27" x14ac:dyDescent="0.25">
      <c r="B30" s="27" t="s">
        <v>251</v>
      </c>
      <c r="C30" s="28" t="s">
        <v>236</v>
      </c>
      <c r="D30" s="28" t="s">
        <v>242</v>
      </c>
      <c r="E30" s="29">
        <v>2028</v>
      </c>
      <c r="F30" s="29">
        <v>2029</v>
      </c>
      <c r="G30" s="29">
        <v>2030</v>
      </c>
      <c r="H30" s="29">
        <v>2031</v>
      </c>
      <c r="I30" s="29">
        <v>2032</v>
      </c>
      <c r="J30" s="29">
        <v>2033</v>
      </c>
      <c r="K30" s="29">
        <v>2034</v>
      </c>
      <c r="L30" s="29">
        <v>2035</v>
      </c>
      <c r="M30" s="29">
        <v>2036</v>
      </c>
      <c r="N30" s="29">
        <v>2037</v>
      </c>
      <c r="O30" s="29">
        <v>2038</v>
      </c>
      <c r="P30" s="29">
        <v>2039</v>
      </c>
      <c r="Q30" s="29">
        <v>2040</v>
      </c>
      <c r="R30" s="29">
        <v>2041</v>
      </c>
      <c r="S30" s="29">
        <v>2042</v>
      </c>
      <c r="T30" s="29">
        <v>2043</v>
      </c>
      <c r="U30" s="29">
        <v>2044</v>
      </c>
      <c r="V30" s="29">
        <v>2045</v>
      </c>
      <c r="W30" s="29">
        <v>2046</v>
      </c>
      <c r="X30" s="29">
        <v>2047</v>
      </c>
      <c r="Y30" s="29">
        <v>2048</v>
      </c>
      <c r="Z30" s="29">
        <v>2049</v>
      </c>
      <c r="AA30" s="29">
        <v>2050</v>
      </c>
    </row>
    <row r="31" spans="1:27" x14ac:dyDescent="0.25">
      <c r="B31" s="13" t="s">
        <v>20</v>
      </c>
      <c r="C31" s="25" t="s">
        <v>252</v>
      </c>
      <c r="D31" s="15" t="s">
        <v>112</v>
      </c>
      <c r="E31" s="17">
        <v>14.241262135922296</v>
      </c>
      <c r="F31" s="17">
        <v>13.848786407766889</v>
      </c>
      <c r="G31" s="17">
        <v>13.456310679611649</v>
      </c>
      <c r="H31" s="17">
        <v>13.456310679611649</v>
      </c>
      <c r="I31" s="17">
        <v>13.456310679611649</v>
      </c>
      <c r="J31" s="17">
        <v>13.456310679611649</v>
      </c>
      <c r="K31" s="17">
        <v>13.456310679611649</v>
      </c>
      <c r="L31" s="17">
        <v>13.456310679611649</v>
      </c>
      <c r="M31" s="17">
        <v>13.456310679611649</v>
      </c>
      <c r="N31" s="17">
        <v>13.456310679611649</v>
      </c>
      <c r="O31" s="17">
        <v>13.456310679611649</v>
      </c>
      <c r="P31" s="17">
        <v>13.456310679611649</v>
      </c>
      <c r="Q31" s="17">
        <v>13.456310679611649</v>
      </c>
      <c r="R31" s="17">
        <v>13.456310679611649</v>
      </c>
      <c r="S31" s="17">
        <v>13.456310679611649</v>
      </c>
      <c r="T31" s="17">
        <v>13.456310679611649</v>
      </c>
      <c r="U31" s="17">
        <v>13.456310679611649</v>
      </c>
      <c r="V31" s="17">
        <v>13.456310679611649</v>
      </c>
      <c r="W31" s="17">
        <v>13.456310679611649</v>
      </c>
      <c r="X31" s="17">
        <v>13.456310679611649</v>
      </c>
      <c r="Y31" s="17">
        <v>13.456310679611649</v>
      </c>
      <c r="Z31" s="17">
        <v>13.456310679611649</v>
      </c>
      <c r="AA31" s="17">
        <v>13.456310679611649</v>
      </c>
    </row>
    <row r="32" spans="1:27" x14ac:dyDescent="0.25">
      <c r="B32" s="31" t="s">
        <v>25</v>
      </c>
      <c r="C32" s="30" t="s">
        <v>252</v>
      </c>
      <c r="D32" s="23" t="s">
        <v>112</v>
      </c>
      <c r="E32" s="24">
        <v>13.513486979796285</v>
      </c>
      <c r="F32" s="24">
        <v>12.461687677007411</v>
      </c>
      <c r="G32" s="24">
        <v>11.409888374218541</v>
      </c>
      <c r="H32" s="24">
        <v>11.404711335629472</v>
      </c>
      <c r="I32" s="24">
        <v>11.399534297040399</v>
      </c>
      <c r="J32" s="24">
        <v>11.394357258451331</v>
      </c>
      <c r="K32" s="24">
        <v>11.389180219862256</v>
      </c>
      <c r="L32" s="24">
        <v>11.384003181273181</v>
      </c>
      <c r="M32" s="24">
        <v>11.359334171568827</v>
      </c>
      <c r="N32" s="24">
        <v>11.334665161864466</v>
      </c>
      <c r="O32" s="24">
        <v>11.309996152160105</v>
      </c>
      <c r="P32" s="24">
        <v>11.285327142455742</v>
      </c>
      <c r="Q32" s="24">
        <v>11.26065813275139</v>
      </c>
      <c r="R32" s="24">
        <v>11.236676488740128</v>
      </c>
      <c r="S32" s="24">
        <v>11.212694844728878</v>
      </c>
      <c r="T32" s="24">
        <v>11.18871320071762</v>
      </c>
      <c r="U32" s="24">
        <v>11.164731556706363</v>
      </c>
      <c r="V32" s="24">
        <v>11.140749912695105</v>
      </c>
      <c r="W32" s="24">
        <v>11.119938841184348</v>
      </c>
      <c r="X32" s="24">
        <v>11.099127769673593</v>
      </c>
      <c r="Y32" s="24">
        <v>11.078316698162839</v>
      </c>
      <c r="Z32" s="24">
        <v>11.057505626652086</v>
      </c>
      <c r="AA32" s="24">
        <v>11.036694555141331</v>
      </c>
    </row>
    <row r="33" spans="2:27" x14ac:dyDescent="0.25">
      <c r="B33" s="20" t="s">
        <v>28</v>
      </c>
      <c r="C33" s="25" t="s">
        <v>53</v>
      </c>
      <c r="D33" s="32" t="s">
        <v>112</v>
      </c>
      <c r="E33" s="26">
        <f>AVERAGE(E34:E35)</f>
        <v>33.900000000000006</v>
      </c>
      <c r="F33" s="26">
        <f t="shared" ref="F33:AA33" si="3">AVERAGE(F34:F35)</f>
        <v>35.199999999999996</v>
      </c>
      <c r="G33" s="26">
        <f t="shared" si="3"/>
        <v>36.5</v>
      </c>
      <c r="H33" s="26">
        <f t="shared" si="3"/>
        <v>37.9</v>
      </c>
      <c r="I33" s="26">
        <f t="shared" si="3"/>
        <v>39.299999999999997</v>
      </c>
      <c r="J33" s="26">
        <f t="shared" si="3"/>
        <v>40.700000000000003</v>
      </c>
      <c r="K33" s="26">
        <f t="shared" si="3"/>
        <v>42.1</v>
      </c>
      <c r="L33" s="26">
        <f t="shared" si="3"/>
        <v>43.5</v>
      </c>
      <c r="M33" s="26">
        <f t="shared" si="3"/>
        <v>44.9</v>
      </c>
      <c r="N33" s="26">
        <f t="shared" si="3"/>
        <v>46.3</v>
      </c>
      <c r="O33" s="26">
        <f t="shared" si="3"/>
        <v>47.7</v>
      </c>
      <c r="P33" s="26">
        <f t="shared" si="3"/>
        <v>49.1</v>
      </c>
      <c r="Q33" s="26">
        <f t="shared" si="3"/>
        <v>50.5</v>
      </c>
      <c r="R33" s="26">
        <f t="shared" si="3"/>
        <v>51.800000000000004</v>
      </c>
      <c r="S33" s="26">
        <f t="shared" si="3"/>
        <v>53.099999999999994</v>
      </c>
      <c r="T33" s="26">
        <f t="shared" si="3"/>
        <v>54.400000000000006</v>
      </c>
      <c r="U33" s="26">
        <f t="shared" si="3"/>
        <v>55.699999999999996</v>
      </c>
      <c r="V33" s="26">
        <f t="shared" si="3"/>
        <v>57</v>
      </c>
      <c r="W33" s="26">
        <f t="shared" si="3"/>
        <v>58.300000000000004</v>
      </c>
      <c r="X33" s="26">
        <f t="shared" si="3"/>
        <v>59.599999999999994</v>
      </c>
      <c r="Y33" s="26">
        <f t="shared" si="3"/>
        <v>60.900000000000006</v>
      </c>
      <c r="Z33" s="26">
        <f t="shared" si="3"/>
        <v>62.199999999999996</v>
      </c>
      <c r="AA33" s="26">
        <f t="shared" si="3"/>
        <v>63.5</v>
      </c>
    </row>
    <row r="34" spans="2:27" x14ac:dyDescent="0.25">
      <c r="B34" s="31" t="s">
        <v>29</v>
      </c>
      <c r="C34" s="30" t="s">
        <v>53</v>
      </c>
      <c r="D34" s="23" t="s">
        <v>112</v>
      </c>
      <c r="E34" s="24">
        <v>23.6</v>
      </c>
      <c r="F34" s="24">
        <v>23.8</v>
      </c>
      <c r="G34" s="24">
        <v>24</v>
      </c>
      <c r="H34" s="24">
        <v>24.3</v>
      </c>
      <c r="I34" s="24">
        <v>24.6</v>
      </c>
      <c r="J34" s="24">
        <v>24.9</v>
      </c>
      <c r="K34" s="24">
        <v>25.2</v>
      </c>
      <c r="L34" s="24">
        <v>25.5</v>
      </c>
      <c r="M34" s="24">
        <v>25.8</v>
      </c>
      <c r="N34" s="24">
        <v>26.1</v>
      </c>
      <c r="O34" s="24">
        <v>26.4</v>
      </c>
      <c r="P34" s="24">
        <v>26.7</v>
      </c>
      <c r="Q34" s="24">
        <v>27</v>
      </c>
      <c r="R34" s="24">
        <v>27.2</v>
      </c>
      <c r="S34" s="24">
        <v>27.4</v>
      </c>
      <c r="T34" s="24">
        <v>27.6</v>
      </c>
      <c r="U34" s="24">
        <v>27.8</v>
      </c>
      <c r="V34" s="24">
        <v>28</v>
      </c>
      <c r="W34" s="24">
        <v>28.2</v>
      </c>
      <c r="X34" s="24">
        <v>28.4</v>
      </c>
      <c r="Y34" s="24">
        <v>28.6</v>
      </c>
      <c r="Z34" s="24">
        <v>28.8</v>
      </c>
      <c r="AA34" s="24">
        <v>29</v>
      </c>
    </row>
    <row r="35" spans="2:27" x14ac:dyDescent="0.25">
      <c r="B35" s="13" t="s">
        <v>30</v>
      </c>
      <c r="C35" s="25" t="s">
        <v>53</v>
      </c>
      <c r="D35" s="15" t="s">
        <v>112</v>
      </c>
      <c r="E35" s="17">
        <v>44.2</v>
      </c>
      <c r="F35" s="17">
        <v>46.599999999999994</v>
      </c>
      <c r="G35" s="17">
        <v>49</v>
      </c>
      <c r="H35" s="17">
        <v>51.5</v>
      </c>
      <c r="I35" s="17">
        <v>54</v>
      </c>
      <c r="J35" s="17">
        <v>56.5</v>
      </c>
      <c r="K35" s="17">
        <v>59</v>
      </c>
      <c r="L35" s="17">
        <v>61.5</v>
      </c>
      <c r="M35" s="17">
        <v>64</v>
      </c>
      <c r="N35" s="17">
        <v>66.5</v>
      </c>
      <c r="O35" s="17">
        <v>69</v>
      </c>
      <c r="P35" s="17">
        <v>71.5</v>
      </c>
      <c r="Q35" s="17">
        <v>74</v>
      </c>
      <c r="R35" s="17">
        <v>76.400000000000006</v>
      </c>
      <c r="S35" s="17">
        <v>78.8</v>
      </c>
      <c r="T35" s="17">
        <v>81.2</v>
      </c>
      <c r="U35" s="17">
        <v>83.6</v>
      </c>
      <c r="V35" s="17">
        <v>86</v>
      </c>
      <c r="W35" s="17">
        <v>88.4</v>
      </c>
      <c r="X35" s="17">
        <v>90.8</v>
      </c>
      <c r="Y35" s="17">
        <v>93.2</v>
      </c>
      <c r="Z35" s="17">
        <v>95.6</v>
      </c>
      <c r="AA35" s="17">
        <v>98</v>
      </c>
    </row>
    <row r="36" spans="2:27" x14ac:dyDescent="0.25">
      <c r="B36" s="31" t="s">
        <v>33</v>
      </c>
      <c r="C36" s="30" t="s">
        <v>253</v>
      </c>
      <c r="D36" s="23" t="s">
        <v>112</v>
      </c>
      <c r="E36" s="24">
        <v>37.733100403066011</v>
      </c>
      <c r="F36" s="24">
        <v>38.342146911849333</v>
      </c>
      <c r="G36" s="24">
        <v>38.940653333333337</v>
      </c>
      <c r="H36" s="24">
        <v>39.678942813058462</v>
      </c>
      <c r="I36" s="24">
        <v>40.406937977316012</v>
      </c>
      <c r="J36" s="24">
        <v>41.12659098936421</v>
      </c>
      <c r="K36" s="24">
        <v>41.833969319082563</v>
      </c>
      <c r="L36" s="24">
        <v>42.531053333333332</v>
      </c>
      <c r="M36" s="24">
        <v>43.412034814050593</v>
      </c>
      <c r="N36" s="24">
        <v>44.282938006995622</v>
      </c>
      <c r="O36" s="24">
        <v>45.139003878327202</v>
      </c>
      <c r="P36" s="24">
        <v>45.982628987106438</v>
      </c>
      <c r="Q36" s="24">
        <v>46.813813333333343</v>
      </c>
      <c r="R36" s="24">
        <v>47.848447938395338</v>
      </c>
      <c r="S36" s="24">
        <v>48.865752394541651</v>
      </c>
      <c r="T36" s="24">
        <v>49.868573412604043</v>
      </c>
      <c r="U36" s="24">
        <v>50.856910992582527</v>
      </c>
      <c r="V36" s="24">
        <v>51.83341333333334</v>
      </c>
      <c r="W36" s="24">
        <v>53.064461879284543</v>
      </c>
      <c r="X36" s="24">
        <v>54.27838999249412</v>
      </c>
      <c r="Y36" s="24">
        <v>55.475197672962103</v>
      </c>
      <c r="Z36" s="24">
        <v>56.658093423643798</v>
      </c>
      <c r="AA36" s="24">
        <v>57.820613333333341</v>
      </c>
    </row>
    <row r="37" spans="2:27" x14ac:dyDescent="0.25">
      <c r="B37" s="20" t="s">
        <v>39</v>
      </c>
      <c r="C37" s="25" t="s">
        <v>303</v>
      </c>
      <c r="D37" s="32" t="s">
        <v>112</v>
      </c>
      <c r="E37" s="26">
        <f t="shared" ref="E37:AA37" si="4">AVERAGE(E38:E39)</f>
        <v>49.155895453136402</v>
      </c>
      <c r="F37" s="26">
        <f>AVERAGE(F38:F39)</f>
        <v>46.21322714258794</v>
      </c>
      <c r="G37" s="26">
        <f t="shared" si="4"/>
        <v>43.223897239433271</v>
      </c>
      <c r="H37" s="26">
        <f t="shared" si="4"/>
        <v>42.444564729750361</v>
      </c>
      <c r="I37" s="26">
        <f t="shared" si="4"/>
        <v>41.592068900672885</v>
      </c>
      <c r="J37" s="26">
        <f t="shared" si="4"/>
        <v>40.666858608946939</v>
      </c>
      <c r="K37" s="26">
        <f t="shared" si="4"/>
        <v>39.66938271131859</v>
      </c>
      <c r="L37" s="26">
        <f t="shared" si="4"/>
        <v>38.600090064535287</v>
      </c>
      <c r="M37" s="26">
        <f t="shared" si="4"/>
        <v>37.733066164815156</v>
      </c>
      <c r="N37" s="26">
        <f t="shared" si="4"/>
        <v>36.816388607703651</v>
      </c>
      <c r="O37" s="26">
        <f t="shared" si="4"/>
        <v>35.85022952820573</v>
      </c>
      <c r="P37" s="26">
        <f t="shared" si="4"/>
        <v>34.83476106132396</v>
      </c>
      <c r="Q37" s="26">
        <f t="shared" si="4"/>
        <v>33.770155342062679</v>
      </c>
      <c r="R37" s="26">
        <f t="shared" si="4"/>
        <v>32.653034249495434</v>
      </c>
      <c r="S37" s="26">
        <f t="shared" si="4"/>
        <v>31.512437862628751</v>
      </c>
      <c r="T37" s="26">
        <f t="shared" si="4"/>
        <v>30.348272331188262</v>
      </c>
      <c r="U37" s="26">
        <f t="shared" si="4"/>
        <v>29.16044380489835</v>
      </c>
      <c r="V37" s="26">
        <f t="shared" si="4"/>
        <v>27.948858433484247</v>
      </c>
      <c r="W37" s="26">
        <f t="shared" si="4"/>
        <v>26.926182930715683</v>
      </c>
      <c r="X37" s="26">
        <f t="shared" si="4"/>
        <v>25.892028440725745</v>
      </c>
      <c r="Y37" s="26">
        <f t="shared" si="4"/>
        <v>24.846329586709331</v>
      </c>
      <c r="Z37" s="26">
        <f t="shared" si="4"/>
        <v>23.789020991861381</v>
      </c>
      <c r="AA37" s="26">
        <f t="shared" si="4"/>
        <v>22.720037279376836</v>
      </c>
    </row>
    <row r="38" spans="2:27" x14ac:dyDescent="0.25">
      <c r="B38" s="31" t="s">
        <v>41</v>
      </c>
      <c r="C38" s="30" t="s">
        <v>301</v>
      </c>
      <c r="D38" s="23" t="s">
        <v>112</v>
      </c>
      <c r="E38" s="24">
        <v>40.478340353858009</v>
      </c>
      <c r="F38" s="24">
        <v>37.380949103708431</v>
      </c>
      <c r="G38" s="24">
        <v>34.236956106325934</v>
      </c>
      <c r="H38" s="24">
        <v>33.687581910973869</v>
      </c>
      <c r="I38" s="24">
        <v>33.064701104118477</v>
      </c>
      <c r="J38" s="24">
        <v>32.368764648601925</v>
      </c>
      <c r="K38" s="24">
        <v>31.600223507266357</v>
      </c>
      <c r="L38" s="24">
        <v>30.759528642955274</v>
      </c>
      <c r="M38" s="24">
        <v>30.102768015678215</v>
      </c>
      <c r="N38" s="24">
        <v>29.396120749388739</v>
      </c>
      <c r="O38" s="24">
        <v>28.639759786772338</v>
      </c>
      <c r="P38" s="24">
        <v>27.833858070512129</v>
      </c>
      <c r="Q38" s="24">
        <v>26.978588543292936</v>
      </c>
      <c r="R38" s="24">
        <v>26.118165221247637</v>
      </c>
      <c r="S38" s="24">
        <v>25.23415645567307</v>
      </c>
      <c r="T38" s="24">
        <v>24.326467955936781</v>
      </c>
      <c r="U38" s="24">
        <v>23.395005431405064</v>
      </c>
      <c r="V38" s="24">
        <v>22.439674591445101</v>
      </c>
      <c r="W38" s="24">
        <v>21.663670792916818</v>
      </c>
      <c r="X38" s="24">
        <v>20.876134146219336</v>
      </c>
      <c r="Y38" s="24">
        <v>20.076998967790789</v>
      </c>
      <c r="Z38" s="24">
        <v>19.266199574069397</v>
      </c>
      <c r="AA38" s="24">
        <v>18.443670281493354</v>
      </c>
    </row>
    <row r="39" spans="2:27" x14ac:dyDescent="0.25">
      <c r="B39" s="34" t="s">
        <v>42</v>
      </c>
      <c r="C39" s="30" t="s">
        <v>302</v>
      </c>
      <c r="D39" s="22" t="s">
        <v>112</v>
      </c>
      <c r="E39" s="18">
        <v>57.833450552414796</v>
      </c>
      <c r="F39" s="18">
        <v>55.045505181467448</v>
      </c>
      <c r="G39" s="18">
        <v>52.210838372540607</v>
      </c>
      <c r="H39" s="18">
        <v>51.201547548526854</v>
      </c>
      <c r="I39" s="18">
        <v>50.1194366972273</v>
      </c>
      <c r="J39" s="18">
        <v>48.964952569291945</v>
      </c>
      <c r="K39" s="18">
        <v>47.738541915370831</v>
      </c>
      <c r="L39" s="18">
        <v>46.4406514861153</v>
      </c>
      <c r="M39" s="18">
        <v>45.363364313952104</v>
      </c>
      <c r="N39" s="18">
        <v>44.236656466018566</v>
      </c>
      <c r="O39" s="18">
        <v>43.060699269639116</v>
      </c>
      <c r="P39" s="18">
        <v>41.835664052135797</v>
      </c>
      <c r="Q39" s="18">
        <v>40.56172214083243</v>
      </c>
      <c r="R39" s="18">
        <v>39.187903277743224</v>
      </c>
      <c r="S39" s="18">
        <v>37.790719269584436</v>
      </c>
      <c r="T39" s="18">
        <v>36.370076706439747</v>
      </c>
      <c r="U39" s="18">
        <v>34.925882178391632</v>
      </c>
      <c r="V39" s="18">
        <v>33.458042275523397</v>
      </c>
      <c r="W39" s="18">
        <v>32.188695068514548</v>
      </c>
      <c r="X39" s="18">
        <v>30.907922735232159</v>
      </c>
      <c r="Y39" s="18">
        <v>29.615660205627876</v>
      </c>
      <c r="Z39" s="18">
        <v>28.311842409653366</v>
      </c>
      <c r="AA39" s="18">
        <v>26.996404277260318</v>
      </c>
    </row>
    <row r="41" spans="2:27" x14ac:dyDescent="0.25">
      <c r="B41"/>
      <c r="C41"/>
      <c r="D41"/>
      <c r="E41"/>
      <c r="F41"/>
      <c r="G41"/>
      <c r="H41"/>
      <c r="I41"/>
      <c r="J41"/>
      <c r="K41"/>
      <c r="L41"/>
      <c r="M41"/>
      <c r="N41"/>
      <c r="O41"/>
      <c r="P41"/>
      <c r="Q41"/>
      <c r="R41"/>
      <c r="S41"/>
      <c r="T41"/>
      <c r="U41"/>
      <c r="V41"/>
      <c r="W41"/>
      <c r="X41"/>
      <c r="Y41"/>
      <c r="Z41"/>
      <c r="AA41"/>
    </row>
  </sheetData>
  <sheetProtection formatCells="0" formatColumns="0" formatRows="0" insertColumns="0" insertRows="0" insertHyperlinks="0" deleteColumns="0" deleteRows="0" sort="0" autoFilter="0" pivotTables="0"/>
  <mergeCells count="3">
    <mergeCell ref="F9:J9"/>
    <mergeCell ref="I6:J6"/>
    <mergeCell ref="B4:K4"/>
  </mergeCells>
  <phoneticPr fontId="46" type="noConversion"/>
  <hyperlinks>
    <hyperlink ref="C18" r:id="rId1" xr:uid="{F049BB78-4E0F-4B7E-AAD0-42EC64C004F6}"/>
    <hyperlink ref="C38" r:id="rId2" display="MMMCZCS, 2024" xr:uid="{2E63C9F4-804D-41E1-AB7D-69A864D4CF44}"/>
    <hyperlink ref="C36" r:id="rId3" display="MMMCZCS, 2024" xr:uid="{80FD63FD-E923-42EE-A9E8-CC97BCDBED1F}"/>
    <hyperlink ref="C31" r:id="rId4" xr:uid="{BB3295B8-C784-4AFC-BFDB-1DE5AB0A8ED7}"/>
    <hyperlink ref="C32" r:id="rId5" xr:uid="{B6004DE9-BD4A-4F37-89DE-3BCACA0B7D27}"/>
    <hyperlink ref="C33" r:id="rId6" display="Source: LR &amp; UMAS, 2020" xr:uid="{B11F2E59-DCFE-4D66-A47C-0BEF88E8A74C}"/>
    <hyperlink ref="C34" r:id="rId7" display="Source: LR &amp; UMAS, 2020" xr:uid="{BF1C0B0E-E8AB-4B96-8B19-825146260D2B}"/>
    <hyperlink ref="C35" r:id="rId8" display="Source: LR &amp; UMAS, 2020" xr:uid="{5D895B08-E419-4467-90B7-5D9E4741E096}"/>
    <hyperlink ref="C19" r:id="rId9" xr:uid="{609694C5-8DA7-42EB-82D9-CE97B8F90151}"/>
    <hyperlink ref="E9" r:id="rId10" display="MEPC 81/16/Add.1, Annex 10, Appendix 2 (pg 49)" xr:uid="{20943D73-3883-4686-B0A6-878899923F2D}"/>
    <hyperlink ref="C37" r:id="rId11" display="MMMCZCS, 2024" xr:uid="{DA45FBB1-7114-437E-870D-220DC6150E62}"/>
    <hyperlink ref="F9" r:id="rId12" display="MEPC 81/16/Add.1, Annex 10, Appendix 2 (pg 49)" xr:uid="{4E52B1A4-EF22-4056-93B0-FEA0257F3419}"/>
    <hyperlink ref="C39" r:id="rId13" display="MMMCZCS, 2024" xr:uid="{EE77B4A4-CBF0-4A54-A6B8-D13B3BF4064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60C8D-EB58-4DC7-9D9D-CD36EC4D5615}">
  <sheetPr>
    <tabColor theme="0" tint="-4.9989318521683403E-2"/>
  </sheetPr>
  <dimension ref="B2:AB30"/>
  <sheetViews>
    <sheetView showGridLines="0" zoomScaleNormal="100" workbookViewId="0">
      <selection activeCell="F2" sqref="F2"/>
    </sheetView>
  </sheetViews>
  <sheetFormatPr defaultRowHeight="15" x14ac:dyDescent="0.25"/>
  <cols>
    <col min="2" max="2" width="15" customWidth="1"/>
    <col min="3" max="9" width="13.140625" customWidth="1"/>
  </cols>
  <sheetData>
    <row r="2" spans="2:28" ht="45" x14ac:dyDescent="0.25">
      <c r="B2" s="130" t="s">
        <v>255</v>
      </c>
      <c r="C2" s="1">
        <v>93.3</v>
      </c>
    </row>
    <row r="4" spans="2:28" x14ac:dyDescent="0.25">
      <c r="G4" s="67" t="s">
        <v>256</v>
      </c>
      <c r="H4" s="67" t="s">
        <v>257</v>
      </c>
      <c r="I4" s="67" t="s">
        <v>258</v>
      </c>
    </row>
    <row r="5" spans="2:28" x14ac:dyDescent="0.25">
      <c r="B5" s="113" t="s">
        <v>259</v>
      </c>
      <c r="C5" s="113" t="s">
        <v>260</v>
      </c>
      <c r="D5" s="113" t="s">
        <v>261</v>
      </c>
      <c r="E5" s="113" t="s">
        <v>262</v>
      </c>
      <c r="F5" s="113" t="s">
        <v>263</v>
      </c>
      <c r="G5" s="113" t="s">
        <v>264</v>
      </c>
      <c r="H5" s="113" t="s">
        <v>254</v>
      </c>
      <c r="I5" s="113" t="s">
        <v>265</v>
      </c>
    </row>
    <row r="6" spans="2:28" x14ac:dyDescent="0.25">
      <c r="B6" s="114" t="s">
        <v>266</v>
      </c>
      <c r="C6" s="115">
        <v>1</v>
      </c>
      <c r="D6" s="114"/>
      <c r="E6" s="115">
        <v>1</v>
      </c>
      <c r="F6" s="114"/>
      <c r="G6" s="117">
        <f>E6*$C$2</f>
        <v>93.3</v>
      </c>
      <c r="H6" s="117">
        <f t="shared" ref="H6:H29" si="0">C6*$C$2-G6</f>
        <v>0</v>
      </c>
      <c r="I6" s="117">
        <f>$C$2-G6-H6</f>
        <v>0</v>
      </c>
    </row>
    <row r="7" spans="2:28" x14ac:dyDescent="0.25">
      <c r="B7" s="114">
        <v>2028</v>
      </c>
      <c r="C7" s="115">
        <v>0.96</v>
      </c>
      <c r="D7" s="116">
        <f t="shared" ref="D7:D14" si="1">C7-1</f>
        <v>-4.0000000000000036E-2</v>
      </c>
      <c r="E7" s="115">
        <v>0.83</v>
      </c>
      <c r="F7" s="116">
        <f>E7-1</f>
        <v>-0.17000000000000004</v>
      </c>
      <c r="G7" s="117">
        <f>E7*$C$2</f>
        <v>77.438999999999993</v>
      </c>
      <c r="H7" s="117">
        <f>C7*$C$2-G7</f>
        <v>12.129000000000005</v>
      </c>
      <c r="I7" s="117">
        <f>$C$2-G7-H7</f>
        <v>3.7319999999999993</v>
      </c>
    </row>
    <row r="8" spans="2:28" x14ac:dyDescent="0.25">
      <c r="B8" s="114">
        <v>2029</v>
      </c>
      <c r="C8" s="115">
        <v>0.94</v>
      </c>
      <c r="D8" s="116">
        <f t="shared" si="1"/>
        <v>-6.0000000000000053E-2</v>
      </c>
      <c r="E8" s="115">
        <v>0.80999999999999994</v>
      </c>
      <c r="F8" s="116">
        <f t="shared" ref="F8" si="2">E8-1</f>
        <v>-0.19000000000000006</v>
      </c>
      <c r="G8" s="117">
        <f t="shared" ref="G8:G29" si="3">E8*$C$2</f>
        <v>75.572999999999993</v>
      </c>
      <c r="H8" s="117">
        <f>C8*$C$2-G8</f>
        <v>12.129000000000005</v>
      </c>
      <c r="I8" s="117">
        <f t="shared" ref="I8:I29" si="4">$C$2-G8-H8</f>
        <v>5.597999999999999</v>
      </c>
      <c r="AB8" s="70"/>
    </row>
    <row r="9" spans="2:28" x14ac:dyDescent="0.25">
      <c r="B9" s="114">
        <v>2030</v>
      </c>
      <c r="C9" s="115">
        <v>0.92</v>
      </c>
      <c r="D9" s="116">
        <f t="shared" si="1"/>
        <v>-7.999999999999996E-2</v>
      </c>
      <c r="E9" s="115">
        <v>0.79</v>
      </c>
      <c r="F9" s="116">
        <f t="shared" ref="F9:F14" si="5">E9-1</f>
        <v>-0.20999999999999996</v>
      </c>
      <c r="G9" s="117">
        <f t="shared" si="3"/>
        <v>73.707000000000008</v>
      </c>
      <c r="H9" s="117">
        <f t="shared" si="0"/>
        <v>12.128999999999991</v>
      </c>
      <c r="I9" s="117">
        <f t="shared" si="4"/>
        <v>7.4639999999999986</v>
      </c>
      <c r="AB9" s="70"/>
    </row>
    <row r="10" spans="2:28" x14ac:dyDescent="0.25">
      <c r="B10" s="114">
        <v>2031</v>
      </c>
      <c r="C10" s="115">
        <v>0.876</v>
      </c>
      <c r="D10" s="116">
        <f t="shared" si="1"/>
        <v>-0.124</v>
      </c>
      <c r="E10" s="115">
        <v>0.746</v>
      </c>
      <c r="F10" s="116">
        <f t="shared" si="5"/>
        <v>-0.254</v>
      </c>
      <c r="G10" s="117">
        <f t="shared" si="3"/>
        <v>69.601799999999997</v>
      </c>
      <c r="H10" s="117">
        <f t="shared" si="0"/>
        <v>12.129000000000005</v>
      </c>
      <c r="I10" s="117">
        <f t="shared" si="4"/>
        <v>11.569199999999995</v>
      </c>
      <c r="AB10" s="70"/>
    </row>
    <row r="11" spans="2:28" x14ac:dyDescent="0.25">
      <c r="B11" s="114">
        <v>2032</v>
      </c>
      <c r="C11" s="115">
        <v>0.83199999999999996</v>
      </c>
      <c r="D11" s="116">
        <f t="shared" si="1"/>
        <v>-0.16800000000000004</v>
      </c>
      <c r="E11" s="115">
        <v>0.70199999999999996</v>
      </c>
      <c r="F11" s="116">
        <f t="shared" si="5"/>
        <v>-0.29800000000000004</v>
      </c>
      <c r="G11" s="117">
        <f t="shared" si="3"/>
        <v>65.496600000000001</v>
      </c>
      <c r="H11" s="117">
        <f t="shared" si="0"/>
        <v>12.128999999999991</v>
      </c>
      <c r="I11" s="117">
        <f t="shared" si="4"/>
        <v>15.674400000000006</v>
      </c>
      <c r="AB11" s="70"/>
    </row>
    <row r="12" spans="2:28" x14ac:dyDescent="0.25">
      <c r="B12" s="114">
        <v>2033</v>
      </c>
      <c r="C12" s="115">
        <v>0.78800000000000003</v>
      </c>
      <c r="D12" s="116">
        <f t="shared" si="1"/>
        <v>-0.21199999999999997</v>
      </c>
      <c r="E12" s="115">
        <v>0.65800000000000003</v>
      </c>
      <c r="F12" s="116">
        <f t="shared" si="5"/>
        <v>-0.34199999999999997</v>
      </c>
      <c r="G12" s="117">
        <f t="shared" si="3"/>
        <v>61.391400000000004</v>
      </c>
      <c r="H12" s="117">
        <f t="shared" si="0"/>
        <v>12.128999999999991</v>
      </c>
      <c r="I12" s="117">
        <f t="shared" si="4"/>
        <v>19.779600000000002</v>
      </c>
      <c r="AB12" s="70"/>
    </row>
    <row r="13" spans="2:28" x14ac:dyDescent="0.25">
      <c r="B13" s="114">
        <v>2034</v>
      </c>
      <c r="C13" s="115">
        <v>0.74399999999999999</v>
      </c>
      <c r="D13" s="116">
        <f t="shared" si="1"/>
        <v>-0.25600000000000001</v>
      </c>
      <c r="E13" s="115">
        <v>0.61399999999999999</v>
      </c>
      <c r="F13" s="116">
        <f t="shared" si="5"/>
        <v>-0.38600000000000001</v>
      </c>
      <c r="G13" s="117">
        <f t="shared" si="3"/>
        <v>57.286199999999994</v>
      </c>
      <c r="H13" s="117">
        <f t="shared" si="0"/>
        <v>12.129000000000005</v>
      </c>
      <c r="I13" s="117">
        <f t="shared" si="4"/>
        <v>23.884799999999998</v>
      </c>
      <c r="AB13" s="70"/>
    </row>
    <row r="14" spans="2:28" x14ac:dyDescent="0.25">
      <c r="B14" s="114">
        <v>2035</v>
      </c>
      <c r="C14" s="115">
        <v>0.69999999999998863</v>
      </c>
      <c r="D14" s="116">
        <f t="shared" si="1"/>
        <v>-0.30000000000001137</v>
      </c>
      <c r="E14" s="115">
        <v>0.56999999999998863</v>
      </c>
      <c r="F14" s="116">
        <f t="shared" si="5"/>
        <v>-0.43000000000001137</v>
      </c>
      <c r="G14" s="117">
        <f t="shared" si="3"/>
        <v>53.180999999998939</v>
      </c>
      <c r="H14" s="117">
        <f t="shared" si="0"/>
        <v>12.128999999999998</v>
      </c>
      <c r="I14" s="117">
        <f t="shared" si="4"/>
        <v>27.990000000001061</v>
      </c>
      <c r="AB14" s="70"/>
    </row>
    <row r="15" spans="2:28" x14ac:dyDescent="0.25">
      <c r="B15" s="114">
        <v>2036</v>
      </c>
      <c r="C15" s="115">
        <v>0.62999999999999545</v>
      </c>
      <c r="D15" s="116"/>
      <c r="E15" s="115">
        <v>0.49999999999999545</v>
      </c>
      <c r="F15" s="116"/>
      <c r="G15" s="117">
        <f t="shared" si="3"/>
        <v>46.649999999999572</v>
      </c>
      <c r="H15" s="117">
        <f t="shared" si="0"/>
        <v>12.129000000000005</v>
      </c>
      <c r="I15" s="117">
        <f t="shared" si="4"/>
        <v>34.52100000000042</v>
      </c>
      <c r="AB15" s="70"/>
    </row>
    <row r="16" spans="2:28" x14ac:dyDescent="0.25">
      <c r="B16" s="114">
        <v>2037</v>
      </c>
      <c r="C16" s="115">
        <v>0.56000000000000227</v>
      </c>
      <c r="D16" s="116"/>
      <c r="E16" s="115">
        <v>0.43000000000000227</v>
      </c>
      <c r="F16" s="116"/>
      <c r="G16" s="117">
        <f t="shared" si="3"/>
        <v>40.119000000000213</v>
      </c>
      <c r="H16" s="117">
        <f t="shared" si="0"/>
        <v>12.128999999999998</v>
      </c>
      <c r="I16" s="117">
        <f t="shared" si="4"/>
        <v>41.051999999999786</v>
      </c>
      <c r="AB16" s="70"/>
    </row>
    <row r="17" spans="2:28" x14ac:dyDescent="0.25">
      <c r="B17" s="114">
        <v>2038</v>
      </c>
      <c r="C17" s="115">
        <v>0.48999999999998067</v>
      </c>
      <c r="D17" s="116"/>
      <c r="E17" s="115">
        <v>0.35999999999998067</v>
      </c>
      <c r="F17" s="116"/>
      <c r="G17" s="117">
        <f t="shared" si="3"/>
        <v>33.587999999998196</v>
      </c>
      <c r="H17" s="117">
        <f t="shared" si="0"/>
        <v>12.128999999999998</v>
      </c>
      <c r="I17" s="117">
        <f t="shared" si="4"/>
        <v>47.583000000001803</v>
      </c>
      <c r="AB17" s="70"/>
    </row>
    <row r="18" spans="2:28" x14ac:dyDescent="0.25">
      <c r="B18" s="114">
        <v>2039</v>
      </c>
      <c r="C18" s="115">
        <v>0.41999999999998749</v>
      </c>
      <c r="D18" s="116"/>
      <c r="E18" s="115">
        <v>0.28999999999998749</v>
      </c>
      <c r="F18" s="116"/>
      <c r="G18" s="117">
        <f t="shared" si="3"/>
        <v>27.056999999998833</v>
      </c>
      <c r="H18" s="117">
        <f t="shared" si="0"/>
        <v>12.129000000000001</v>
      </c>
      <c r="I18" s="117">
        <f t="shared" si="4"/>
        <v>54.114000000001155</v>
      </c>
      <c r="AB18" s="70"/>
    </row>
    <row r="19" spans="2:28" x14ac:dyDescent="0.25">
      <c r="B19" s="114">
        <v>2040</v>
      </c>
      <c r="C19" s="115">
        <v>0.34999999999999432</v>
      </c>
      <c r="D19" s="116">
        <f>C19-1</f>
        <v>-0.65000000000000568</v>
      </c>
      <c r="E19" s="115">
        <v>0.21999999999999431</v>
      </c>
      <c r="F19" s="116"/>
      <c r="G19" s="117">
        <f t="shared" si="3"/>
        <v>20.525999999999467</v>
      </c>
      <c r="H19" s="117">
        <f t="shared" si="0"/>
        <v>12.129000000000001</v>
      </c>
      <c r="I19" s="117">
        <f t="shared" si="4"/>
        <v>60.645000000000522</v>
      </c>
      <c r="AB19" s="70"/>
    </row>
    <row r="20" spans="2:28" x14ac:dyDescent="0.25">
      <c r="B20" s="114">
        <v>2041</v>
      </c>
      <c r="C20" s="115">
        <v>0.32000000000000028</v>
      </c>
      <c r="D20" s="116"/>
      <c r="E20" s="115">
        <v>0.19000000000000028</v>
      </c>
      <c r="F20" s="116"/>
      <c r="G20" s="117">
        <f t="shared" si="3"/>
        <v>17.727000000000025</v>
      </c>
      <c r="H20" s="117">
        <f t="shared" si="0"/>
        <v>12.129000000000001</v>
      </c>
      <c r="I20" s="117">
        <f t="shared" si="4"/>
        <v>63.443999999999974</v>
      </c>
      <c r="AB20" s="70"/>
    </row>
    <row r="21" spans="2:28" x14ac:dyDescent="0.25">
      <c r="B21" s="114">
        <v>2042</v>
      </c>
      <c r="C21" s="115">
        <v>0.28999999999999915</v>
      </c>
      <c r="D21" s="116"/>
      <c r="E21" s="115">
        <v>0.15999999999999914</v>
      </c>
      <c r="F21" s="116"/>
      <c r="G21" s="117">
        <f t="shared" si="3"/>
        <v>14.927999999999919</v>
      </c>
      <c r="H21" s="117">
        <f t="shared" si="0"/>
        <v>12.129000000000001</v>
      </c>
      <c r="I21" s="117">
        <f t="shared" si="4"/>
        <v>66.243000000000066</v>
      </c>
      <c r="AB21" s="70"/>
    </row>
    <row r="22" spans="2:28" x14ac:dyDescent="0.25">
      <c r="B22" s="114">
        <v>2043</v>
      </c>
      <c r="C22" s="115">
        <v>0.25999999999999801</v>
      </c>
      <c r="D22" s="116"/>
      <c r="E22" s="115">
        <v>0.12999999999999801</v>
      </c>
      <c r="F22" s="116"/>
      <c r="G22" s="117">
        <f t="shared" si="3"/>
        <v>12.128999999999813</v>
      </c>
      <c r="H22" s="117">
        <f t="shared" si="0"/>
        <v>12.129000000000001</v>
      </c>
      <c r="I22" s="117">
        <f t="shared" si="4"/>
        <v>69.042000000000186</v>
      </c>
      <c r="AB22" s="70"/>
    </row>
    <row r="23" spans="2:28" x14ac:dyDescent="0.25">
      <c r="B23" s="114">
        <v>2044</v>
      </c>
      <c r="C23" s="115">
        <v>0.22999999999999687</v>
      </c>
      <c r="D23" s="116"/>
      <c r="E23" s="115">
        <v>9.9999999999996869E-2</v>
      </c>
      <c r="F23" s="116"/>
      <c r="G23" s="117">
        <f t="shared" si="3"/>
        <v>9.329999999999707</v>
      </c>
      <c r="H23" s="117">
        <f t="shared" si="0"/>
        <v>12.129000000000001</v>
      </c>
      <c r="I23" s="117">
        <f t="shared" si="4"/>
        <v>71.841000000000278</v>
      </c>
      <c r="AB23" s="70"/>
    </row>
    <row r="24" spans="2:28" x14ac:dyDescent="0.25">
      <c r="B24" s="114">
        <v>2045</v>
      </c>
      <c r="C24" s="115">
        <v>0.20000000000000284</v>
      </c>
      <c r="D24" s="116"/>
      <c r="E24" s="115">
        <v>7.0000000000002838E-2</v>
      </c>
      <c r="F24" s="116"/>
      <c r="G24" s="117">
        <f t="shared" si="3"/>
        <v>6.5310000000002644</v>
      </c>
      <c r="H24" s="117">
        <f t="shared" si="0"/>
        <v>12.128999999999998</v>
      </c>
      <c r="I24" s="117">
        <f t="shared" si="4"/>
        <v>74.639999999999731</v>
      </c>
      <c r="AB24" s="70"/>
    </row>
    <row r="25" spans="2:28" x14ac:dyDescent="0.25">
      <c r="B25" s="114">
        <v>2046</v>
      </c>
      <c r="C25" s="115">
        <v>0.17000000000000171</v>
      </c>
      <c r="D25" s="116"/>
      <c r="E25" s="115">
        <v>4.0000000000001701E-2</v>
      </c>
      <c r="F25" s="116"/>
      <c r="G25" s="117">
        <f t="shared" si="3"/>
        <v>3.7320000000001587</v>
      </c>
      <c r="H25" s="117">
        <f t="shared" si="0"/>
        <v>12.129</v>
      </c>
      <c r="I25" s="117">
        <f t="shared" si="4"/>
        <v>77.438999999999837</v>
      </c>
      <c r="AB25" s="70"/>
    </row>
    <row r="26" spans="2:28" x14ac:dyDescent="0.25">
      <c r="B26" s="114">
        <v>2047</v>
      </c>
      <c r="C26" s="115">
        <v>0.14000000000000057</v>
      </c>
      <c r="D26" s="116"/>
      <c r="E26" s="115">
        <v>1.0000000000000564E-2</v>
      </c>
      <c r="F26" s="116"/>
      <c r="G26" s="117">
        <f t="shared" si="3"/>
        <v>0.93300000000005257</v>
      </c>
      <c r="H26" s="117">
        <f t="shared" si="0"/>
        <v>12.129</v>
      </c>
      <c r="I26" s="117">
        <f t="shared" si="4"/>
        <v>80.237999999999943</v>
      </c>
      <c r="AB26" s="70"/>
    </row>
    <row r="27" spans="2:28" x14ac:dyDescent="0.25">
      <c r="B27" s="114">
        <v>2048</v>
      </c>
      <c r="C27" s="115">
        <v>0.10999999999999943</v>
      </c>
      <c r="D27" s="116"/>
      <c r="E27" s="115">
        <v>0</v>
      </c>
      <c r="F27" s="116"/>
      <c r="G27" s="117">
        <f t="shared" si="3"/>
        <v>0</v>
      </c>
      <c r="H27" s="117">
        <f t="shared" si="0"/>
        <v>10.262999999999947</v>
      </c>
      <c r="I27" s="117">
        <f t="shared" si="4"/>
        <v>83.037000000000049</v>
      </c>
      <c r="AB27" s="70"/>
    </row>
    <row r="28" spans="2:28" x14ac:dyDescent="0.25">
      <c r="B28" s="114">
        <v>2049</v>
      </c>
      <c r="C28" s="115">
        <v>7.9999999999998295E-2</v>
      </c>
      <c r="D28" s="116"/>
      <c r="E28" s="115">
        <v>0</v>
      </c>
      <c r="F28" s="116"/>
      <c r="G28" s="117">
        <f t="shared" si="3"/>
        <v>0</v>
      </c>
      <c r="H28" s="117">
        <f t="shared" si="0"/>
        <v>7.4639999999998405</v>
      </c>
      <c r="I28" s="117">
        <f t="shared" si="4"/>
        <v>85.836000000000155</v>
      </c>
      <c r="AB28" s="70"/>
    </row>
    <row r="29" spans="2:28" x14ac:dyDescent="0.25">
      <c r="B29" s="114">
        <v>2050</v>
      </c>
      <c r="C29" s="115">
        <v>4.9999999999997158E-2</v>
      </c>
      <c r="D29" s="116"/>
      <c r="E29" s="115">
        <v>0</v>
      </c>
      <c r="F29" s="116"/>
      <c r="G29" s="117">
        <f t="shared" si="3"/>
        <v>0</v>
      </c>
      <c r="H29" s="117">
        <f t="shared" si="0"/>
        <v>4.6649999999997345</v>
      </c>
      <c r="I29" s="117">
        <f t="shared" si="4"/>
        <v>88.635000000000261</v>
      </c>
    </row>
    <row r="30" spans="2:28" x14ac:dyDescent="0.25">
      <c r="C30" s="118"/>
      <c r="E30" s="70"/>
      <c r="F30" s="70"/>
      <c r="G30" s="118"/>
      <c r="H30" s="70"/>
    </row>
  </sheetData>
  <pageMargins left="0.7" right="0.7" top="0.75" bottom="0.75" header="0.3" footer="0.3"/>
  <pageSetup paperSize="9" orientation="portrait" r:id="rId1"/>
  <headerFooter>
    <oddFooter>&amp;C_x000D_&amp;1#&amp;"Calibri"&amp;10&amp;K000000 Internal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19AB0DBE903640BFC8FA453E28174A" ma:contentTypeVersion="10" ma:contentTypeDescription="Create a new document." ma:contentTypeScope="" ma:versionID="b787a52f4f8a07c54049b5783332d480">
  <xsd:schema xmlns:xsd="http://www.w3.org/2001/XMLSchema" xmlns:xs="http://www.w3.org/2001/XMLSchema" xmlns:p="http://schemas.microsoft.com/office/2006/metadata/properties" xmlns:ns2="e72abe4b-f517-4373-bd03-6e2de50a6953" xmlns:ns3="6074234b-9a54-42b5-a197-a305fcd02031" targetNamespace="http://schemas.microsoft.com/office/2006/metadata/properties" ma:root="true" ma:fieldsID="1306ae84fbedbf5295945e12a8b4ecfd" ns2:_="" ns3:_="">
    <xsd:import namespace="e72abe4b-f517-4373-bd03-6e2de50a6953"/>
    <xsd:import namespace="6074234b-9a54-42b5-a197-a305fcd0203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2abe4b-f517-4373-bd03-6e2de50a69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405d3cf-f1b6-4142-bd55-078f49f7cf5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74234b-9a54-42b5-a197-a305fcd0203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7e7216f-7cd2-4eb4-8f0d-92a6e98d1e0f}" ma:internalName="TaxCatchAll" ma:showField="CatchAllData" ma:web="6074234b-9a54-42b5-a197-a305fcd020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72abe4b-f517-4373-bd03-6e2de50a6953">
      <Terms xmlns="http://schemas.microsoft.com/office/infopath/2007/PartnerControls"/>
    </lcf76f155ced4ddcb4097134ff3c332f>
    <TaxCatchAll xmlns="6074234b-9a54-42b5-a197-a305fcd02031" xsi:nil="true"/>
  </documentManagement>
</p:properties>
</file>

<file path=customXml/itemProps1.xml><?xml version="1.0" encoding="utf-8"?>
<ds:datastoreItem xmlns:ds="http://schemas.openxmlformats.org/officeDocument/2006/customXml" ds:itemID="{7416FC57-2605-416E-82CD-0DC4690DB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2abe4b-f517-4373-bd03-6e2de50a6953"/>
    <ds:schemaRef ds:uri="6074234b-9a54-42b5-a197-a305fcd020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9AE294-90E7-45D1-A46A-3FAED366FE51}">
  <ds:schemaRefs>
    <ds:schemaRef ds:uri="http://schemas.microsoft.com/sharepoint/v3/contenttype/forms"/>
  </ds:schemaRefs>
</ds:datastoreItem>
</file>

<file path=customXml/itemProps3.xml><?xml version="1.0" encoding="utf-8"?>
<ds:datastoreItem xmlns:ds="http://schemas.openxmlformats.org/officeDocument/2006/customXml" ds:itemID="{8C6B0CB6-2E58-463B-9CA2-34E00A2E2DE5}">
  <ds:schemaRefs>
    <ds:schemaRef ds:uri="http://purl.org/dc/dcmitype/"/>
    <ds:schemaRef ds:uri="http://purl.org/dc/terms/"/>
    <ds:schemaRef ds:uri="http://purl.org/dc/elements/1.1/"/>
    <ds:schemaRef ds:uri="1ff59689-b621-4a24-953f-18556f9d2718"/>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9d14f08-c1b0-4169-9ec9-7eebe8710027"/>
    <ds:schemaRef ds:uri="http://schemas.microsoft.com/office/2006/metadata/properties"/>
    <ds:schemaRef ds:uri="e72abe4b-f517-4373-bd03-6e2de50a6953"/>
    <ds:schemaRef ds:uri="6074234b-9a54-42b5-a197-a305fcd02031"/>
  </ds:schemaRefs>
</ds:datastoreItem>
</file>

<file path=docMetadata/LabelInfo.xml><?xml version="1.0" encoding="utf-8"?>
<clbl:labelList xmlns:clbl="http://schemas.microsoft.com/office/2020/mipLabelMetadata">
  <clbl:label id="{e4b931d8-a288-4db6-acc7-364bc8042050}" enabled="1" method="Privileged" siteId="{5218c2a1-81cc-40ce-af99-7505143bc26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CCC Summary</vt:lpstr>
      <vt:lpstr>Calculations</vt:lpstr>
      <vt:lpstr>Data</vt:lpstr>
      <vt:lpstr>IMO GFI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Bettles</dc:creator>
  <cp:keywords/>
  <dc:description/>
  <cp:lastModifiedBy>Joe Bettles</cp:lastModifiedBy>
  <cp:revision/>
  <dcterms:created xsi:type="dcterms:W3CDTF">2015-06-05T18:19:34Z</dcterms:created>
  <dcterms:modified xsi:type="dcterms:W3CDTF">2025-05-28T08:04:06Z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0x010100FA19AB0DBE903640BFC8FA453E28174A</vt:lpwstr>
  </property>
  <property fmtid="{D5CDD505-2E9C-101B-9397-08002B2CF9AE}" pid="3" name="MediaServiceImageTags">
    <vt:lpwstr/>
  </property>
</Properties>
</file>