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zerocarbonshipping.sharepoint.com/sites/40032/Delte dokumenter/General/Phase II/2 Workstreams/MTM -- Newsletter/Modeling/MTM Impact Calculator/"/>
    </mc:Choice>
  </mc:AlternateContent>
  <xr:revisionPtr revIDLastSave="1664" documentId="8_{BD38DC44-D171-470D-8946-96E175CBF807}" xr6:coauthVersionLast="47" xr6:coauthVersionMax="47" xr10:uidLastSave="{58CDFA19-C79C-43BF-9D57-766D7D5629A3}"/>
  <bookViews>
    <workbookView xWindow="28680" yWindow="-9540" windowWidth="38640" windowHeight="21120" activeTab="2" xr2:uid="{00000000-000D-0000-FFFF-FFFF00000000}"/>
  </bookViews>
  <sheets>
    <sheet name="CCC Summary" sheetId="13" r:id="rId1"/>
    <sheet name="Calculations" sheetId="14" r:id="rId2"/>
    <sheet name="Data" sheetId="15" r:id="rId3"/>
    <sheet name="IMO GFI" sheetId="17" r:id="rId4"/>
  </sheets>
  <externalReferences>
    <externalReference r:id="rId5"/>
  </externalReferences>
  <definedNames>
    <definedName name="__Ampler.Charts.0a6d1a90283444afb12196d473f6545a" localSheetId="1" hidden="1">#REF!</definedName>
    <definedName name="__Ampler.Charts.0a6d1a90283444afb12196d473f6545a" localSheetId="0" hidden="1">'CCC Summary'!#REF!</definedName>
    <definedName name="__Ampler.Charts.0a6d1a90283444afb12196d473f6545a" hidden="1">#REF!</definedName>
    <definedName name="__Ampler.Charts.34f1c03d97b345f9a4353d08cf28e475" localSheetId="1" hidden="1">[1]RouteAssessment!#REF!</definedName>
    <definedName name="__Ampler.Charts.34f1c03d97b345f9a4353d08cf28e475" localSheetId="0" hidden="1">[1]RouteAssessment!#REF!</definedName>
    <definedName name="__Ampler.Charts.34f1c03d97b345f9a4353d08cf28e475" hidden="1">#REF!</definedName>
    <definedName name="__Ampler.Charts.4949497296a941e7b1dd898b06a43188" localSheetId="1" hidden="1">#REF!</definedName>
    <definedName name="__Ampler.Charts.4949497296a941e7b1dd898b06a43188" localSheetId="0" hidden="1">'CCC Summary'!#REF!</definedName>
    <definedName name="__Ampler.Charts.4949497296a941e7b1dd898b06a43188" hidden="1">#REF!</definedName>
    <definedName name="__Ampler.Charts.4db02dabf638459889fa4705ee1aa0e7" localSheetId="1" hidden="1">#REF!</definedName>
    <definedName name="__Ampler.Charts.4db02dabf638459889fa4705ee1aa0e7" localSheetId="0" hidden="1">'CCC Summary'!#REF!</definedName>
    <definedName name="__Ampler.Charts.4db02dabf638459889fa4705ee1aa0e7" hidden="1">#REF!</definedName>
    <definedName name="__Ampler.Charts.4dbcb68e429b4e53b9337bb3cf75a6b2" localSheetId="1" hidden="1">#REF!</definedName>
    <definedName name="__Ampler.Charts.4dbcb68e429b4e53b9337bb3cf75a6b2" localSheetId="0" hidden="1">#REF!</definedName>
    <definedName name="__Ampler.Charts.4dbcb68e429b4e53b9337bb3cf75a6b2" hidden="1">#REF!</definedName>
    <definedName name="__Ampler.Charts.4eeae91c0b67498a8a436f0c0c38dece" localSheetId="1" hidden="1">[1]RouteAssessment!#REF!</definedName>
    <definedName name="__Ampler.Charts.4eeae91c0b67498a8a436f0c0c38dece" localSheetId="0" hidden="1">[1]RouteAssessment!#REF!</definedName>
    <definedName name="__Ampler.Charts.4eeae91c0b67498a8a436f0c0c38dece" hidden="1">#REF!</definedName>
    <definedName name="__Ampler.Charts.5728b5bb58e949dfa3a26fa526f1025b" localSheetId="1" hidden="1">[1]RouteAssessment!#REF!</definedName>
    <definedName name="__Ampler.Charts.5728b5bb58e949dfa3a26fa526f1025b" localSheetId="0" hidden="1">[1]RouteAssessment!#REF!</definedName>
    <definedName name="__Ampler.Charts.5728b5bb58e949dfa3a26fa526f1025b" hidden="1">#REF!</definedName>
    <definedName name="__Ampler.Charts.68bc14e0267446caab76e6e7a191a791" localSheetId="1" hidden="1">#REF!</definedName>
    <definedName name="__Ampler.Charts.68bc14e0267446caab76e6e7a191a791" localSheetId="0" hidden="1">'CCC Summary'!#REF!</definedName>
    <definedName name="__Ampler.Charts.68bc14e0267446caab76e6e7a191a791" hidden="1">#REF!</definedName>
    <definedName name="__Ampler.Charts.75a81f14f29d46e0b4e39cf665ff6370" localSheetId="1" hidden="1">[1]RouteAssessment!#REF!</definedName>
    <definedName name="__Ampler.Charts.75a81f14f29d46e0b4e39cf665ff6370" localSheetId="0" hidden="1">[1]RouteAssessment!#REF!</definedName>
    <definedName name="__Ampler.Charts.75a81f14f29d46e0b4e39cf665ff6370" hidden="1">#REF!</definedName>
    <definedName name="__Ampler.Charts.95df8f6dc046443690eba9763d4c43b9" localSheetId="1" hidden="1">#REF!</definedName>
    <definedName name="__Ampler.Charts.95df8f6dc046443690eba9763d4c43b9" localSheetId="0" hidden="1">'CCC Summary'!#REF!</definedName>
    <definedName name="__Ampler.Charts.95df8f6dc046443690eba9763d4c43b9" hidden="1">#REF!</definedName>
    <definedName name="__Ampler.Charts.ac3a886e354c4182957999ac64699388" localSheetId="1" hidden="1">#REF!</definedName>
    <definedName name="__Ampler.Charts.ac3a886e354c4182957999ac64699388" localSheetId="0" hidden="1">'CCC Summary'!#REF!</definedName>
    <definedName name="__Ampler.Charts.ac3a886e354c4182957999ac64699388" hidden="1">#REF!</definedName>
    <definedName name="__Ampler.Charts.c817a1644e39488c8e9e7ad399afe5e3" localSheetId="1" hidden="1">#REF!</definedName>
    <definedName name="__Ampler.Charts.c817a1644e39488c8e9e7ad399afe5e3" localSheetId="0" hidden="1">#REF!</definedName>
    <definedName name="__Ampler.Charts.c817a1644e39488c8e9e7ad399afe5e3" hidden="1">#REF!</definedName>
    <definedName name="__Ampler.Charts.ccf74908bffc4081a620e52ce9827f62" localSheetId="1" hidden="1">[1]RouteAssessment!#REF!</definedName>
    <definedName name="__Ampler.Charts.ccf74908bffc4081a620e52ce9827f62" localSheetId="0" hidden="1">[1]RouteAssessment!#REF!</definedName>
    <definedName name="__Ampler.Charts.ccf74908bffc4081a620e52ce9827f62" hidden="1">#REF!</definedName>
    <definedName name="__Ampler.Charts.e84d9270cbb94356a40d81dc703d7694" localSheetId="1" hidden="1">#REF!</definedName>
    <definedName name="__Ampler.Charts.e84d9270cbb94356a40d81dc703d7694" localSheetId="0" hidden="1">'CCC Summary'!#REF!</definedName>
    <definedName name="__Ampler.Charts.e84d9270cbb94356a40d81dc703d7694" hidden="1">#REF!</definedName>
    <definedName name="__Ampler.Charts.fa765f69abe84d24a3c4c841a6828b6f" localSheetId="1" hidden="1">#REF!</definedName>
    <definedName name="__Ampler.Charts.fa765f69abe84d24a3c4c841a6828b6f" localSheetId="0" hidden="1">'CCC Summary'!#REF!</definedName>
    <definedName name="__Ampler.Charts.fa765f69abe84d24a3c4c841a6828b6f"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3" l="1"/>
  <c r="D45" i="13"/>
  <c r="G15" i="17"/>
  <c r="G16" i="17"/>
  <c r="G17" i="17"/>
  <c r="G18" i="17"/>
  <c r="G19" i="17"/>
  <c r="G20" i="17"/>
  <c r="H20" i="17" s="1"/>
  <c r="I20" i="17" s="1"/>
  <c r="G21" i="17"/>
  <c r="H21" i="17" s="1"/>
  <c r="G22" i="17"/>
  <c r="G23" i="17"/>
  <c r="H23" i="17" s="1"/>
  <c r="G24" i="17"/>
  <c r="H24" i="17" s="1"/>
  <c r="I24" i="17" s="1"/>
  <c r="G25" i="17"/>
  <c r="G26" i="17"/>
  <c r="G27" i="17"/>
  <c r="G28" i="17"/>
  <c r="G29" i="17"/>
  <c r="D14" i="17"/>
  <c r="C43" i="13"/>
  <c r="D7" i="17"/>
  <c r="D34" i="14"/>
  <c r="J34" i="14" s="1"/>
  <c r="F9" i="17"/>
  <c r="F10" i="17"/>
  <c r="F11" i="17"/>
  <c r="F12" i="17"/>
  <c r="F13" i="17"/>
  <c r="F14" i="17"/>
  <c r="F7" i="17"/>
  <c r="D8" i="17"/>
  <c r="D9" i="17"/>
  <c r="D10" i="17"/>
  <c r="D11" i="17"/>
  <c r="D12" i="17"/>
  <c r="D13" i="17"/>
  <c r="D19" i="17"/>
  <c r="D6" i="14"/>
  <c r="B45" i="13"/>
  <c r="H11" i="14"/>
  <c r="H12" i="14" s="1"/>
  <c r="H4" i="14"/>
  <c r="I46" i="14"/>
  <c r="J46" i="14"/>
  <c r="K46" i="14"/>
  <c r="L46" i="14"/>
  <c r="M46" i="14"/>
  <c r="N46" i="14"/>
  <c r="O46" i="14"/>
  <c r="P46" i="14"/>
  <c r="Q46" i="14"/>
  <c r="R46" i="14"/>
  <c r="S46" i="14"/>
  <c r="T46" i="14"/>
  <c r="U46" i="14"/>
  <c r="V46" i="14"/>
  <c r="W46" i="14"/>
  <c r="X46" i="14"/>
  <c r="Y46" i="14"/>
  <c r="Z46" i="14"/>
  <c r="AA46" i="14"/>
  <c r="AB46" i="14"/>
  <c r="AC46" i="14"/>
  <c r="AD46" i="14"/>
  <c r="H46" i="14"/>
  <c r="I26" i="14"/>
  <c r="J26" i="14"/>
  <c r="K26" i="14"/>
  <c r="L26" i="14"/>
  <c r="M26" i="14"/>
  <c r="N26" i="14"/>
  <c r="O26" i="14"/>
  <c r="P26" i="14"/>
  <c r="Q26" i="14"/>
  <c r="R26" i="14"/>
  <c r="S26" i="14"/>
  <c r="T26" i="14"/>
  <c r="U26" i="14"/>
  <c r="V26" i="14"/>
  <c r="W26" i="14"/>
  <c r="X26" i="14"/>
  <c r="Y26" i="14"/>
  <c r="Z26" i="14"/>
  <c r="AA26" i="14"/>
  <c r="AB26" i="14"/>
  <c r="AC26" i="14"/>
  <c r="AD26" i="14"/>
  <c r="H26" i="14"/>
  <c r="H27" i="14" s="1"/>
  <c r="J11" i="14"/>
  <c r="K11" i="14"/>
  <c r="L11" i="14"/>
  <c r="M11" i="14"/>
  <c r="N11" i="14"/>
  <c r="O11" i="14"/>
  <c r="P11" i="14"/>
  <c r="Q11" i="14"/>
  <c r="R11" i="14"/>
  <c r="S11" i="14"/>
  <c r="T11" i="14"/>
  <c r="U11" i="14"/>
  <c r="V11" i="14"/>
  <c r="W11" i="14"/>
  <c r="X11" i="14"/>
  <c r="Y11" i="14"/>
  <c r="Z11" i="14"/>
  <c r="AA11" i="14"/>
  <c r="AB11" i="14"/>
  <c r="AC11" i="14"/>
  <c r="AD11" i="14"/>
  <c r="I11" i="14"/>
  <c r="I4" i="14"/>
  <c r="J4" i="14"/>
  <c r="K4" i="14"/>
  <c r="L4" i="14"/>
  <c r="M4" i="14"/>
  <c r="N4" i="14"/>
  <c r="O4" i="14"/>
  <c r="P4" i="14"/>
  <c r="Q4" i="14"/>
  <c r="R4" i="14"/>
  <c r="S4" i="14"/>
  <c r="T4" i="14"/>
  <c r="U4" i="14"/>
  <c r="V4" i="14"/>
  <c r="W4" i="14"/>
  <c r="X4" i="14"/>
  <c r="Y4" i="14"/>
  <c r="Z4" i="14"/>
  <c r="AA4" i="14"/>
  <c r="AB4" i="14"/>
  <c r="AC4" i="14"/>
  <c r="AD4" i="14"/>
  <c r="I5" i="14"/>
  <c r="I7" i="14" s="1"/>
  <c r="J5" i="14"/>
  <c r="J7" i="14" s="1"/>
  <c r="K5" i="14"/>
  <c r="K7" i="14" s="1"/>
  <c r="L5" i="14"/>
  <c r="L7" i="14" s="1"/>
  <c r="M5" i="14"/>
  <c r="M7" i="14" s="1"/>
  <c r="N5" i="14"/>
  <c r="N7" i="14" s="1"/>
  <c r="O5" i="14"/>
  <c r="O7" i="14" s="1"/>
  <c r="P5" i="14"/>
  <c r="P7" i="14" s="1"/>
  <c r="Q5" i="14"/>
  <c r="Q7" i="14" s="1"/>
  <c r="R5" i="14"/>
  <c r="R7" i="14" s="1"/>
  <c r="S5" i="14"/>
  <c r="S7" i="14" s="1"/>
  <c r="T5" i="14"/>
  <c r="T7" i="14" s="1"/>
  <c r="U5" i="14"/>
  <c r="U7" i="14" s="1"/>
  <c r="V5" i="14"/>
  <c r="V7" i="14" s="1"/>
  <c r="W5" i="14"/>
  <c r="W7" i="14" s="1"/>
  <c r="X5" i="14"/>
  <c r="X7" i="14" s="1"/>
  <c r="Y5" i="14"/>
  <c r="Y7" i="14" s="1"/>
  <c r="Z5" i="14"/>
  <c r="Z7" i="14" s="1"/>
  <c r="AA5" i="14"/>
  <c r="AA7" i="14" s="1"/>
  <c r="AB5" i="14"/>
  <c r="AB7" i="14" s="1"/>
  <c r="AC5" i="14"/>
  <c r="AC7" i="14" s="1"/>
  <c r="AD5" i="14"/>
  <c r="AD7" i="14" s="1"/>
  <c r="H5" i="14"/>
  <c r="H7" i="14" s="1"/>
  <c r="E21" i="15"/>
  <c r="F21" i="15"/>
  <c r="G21" i="15"/>
  <c r="H21" i="15"/>
  <c r="I21" i="15"/>
  <c r="J21" i="15"/>
  <c r="K21" i="15"/>
  <c r="L21" i="15"/>
  <c r="M21" i="15"/>
  <c r="N21" i="15"/>
  <c r="O21" i="15"/>
  <c r="P21" i="15"/>
  <c r="Q21" i="15"/>
  <c r="R21" i="15"/>
  <c r="S21" i="15"/>
  <c r="T21" i="15"/>
  <c r="U21" i="15"/>
  <c r="V21" i="15"/>
  <c r="W21" i="15"/>
  <c r="X21" i="15"/>
  <c r="Y21" i="15"/>
  <c r="Z21" i="15"/>
  <c r="AA21" i="15"/>
  <c r="E29" i="15"/>
  <c r="F29" i="15"/>
  <c r="G29" i="15"/>
  <c r="H29" i="15"/>
  <c r="I29" i="15"/>
  <c r="J29" i="15"/>
  <c r="K29" i="15"/>
  <c r="L29" i="15"/>
  <c r="M29" i="15"/>
  <c r="N29" i="15"/>
  <c r="O29" i="15"/>
  <c r="P29" i="15"/>
  <c r="Q29" i="15"/>
  <c r="R29" i="15"/>
  <c r="S29" i="15"/>
  <c r="T29" i="15"/>
  <c r="U29" i="15"/>
  <c r="V29" i="15"/>
  <c r="W29" i="15"/>
  <c r="X29" i="15"/>
  <c r="Y29" i="15"/>
  <c r="Z29" i="15"/>
  <c r="AA29" i="15"/>
  <c r="H29" i="17"/>
  <c r="H28" i="17"/>
  <c r="I28" i="17" s="1"/>
  <c r="H27" i="17"/>
  <c r="H26" i="17"/>
  <c r="H16" i="17"/>
  <c r="I16" i="17" s="1"/>
  <c r="G14" i="17"/>
  <c r="G13" i="17"/>
  <c r="H13" i="17" s="1"/>
  <c r="I13" i="17" s="1"/>
  <c r="G12" i="17"/>
  <c r="H12" i="17" s="1"/>
  <c r="G11" i="17"/>
  <c r="H11" i="17" s="1"/>
  <c r="G10" i="17"/>
  <c r="H10" i="17" s="1"/>
  <c r="I10" i="17" s="1"/>
  <c r="G9" i="17"/>
  <c r="G8" i="17"/>
  <c r="F8" i="17"/>
  <c r="G7" i="17"/>
  <c r="H7" i="17" s="1"/>
  <c r="G6" i="17"/>
  <c r="J6" i="14" l="1"/>
  <c r="H34" i="14"/>
  <c r="H6" i="14" s="1"/>
  <c r="AD34" i="14"/>
  <c r="AD6" i="14" s="1"/>
  <c r="AC34" i="14"/>
  <c r="AC6" i="14" s="1"/>
  <c r="Q34" i="14"/>
  <c r="Q6" i="14" s="1"/>
  <c r="AB34" i="14"/>
  <c r="AB6" i="14" s="1"/>
  <c r="P34" i="14"/>
  <c r="P6" i="14" s="1"/>
  <c r="AA34" i="14"/>
  <c r="AA6" i="14" s="1"/>
  <c r="O34" i="14"/>
  <c r="O6" i="14" s="1"/>
  <c r="Z34" i="14"/>
  <c r="Z6" i="14" s="1"/>
  <c r="N34" i="14"/>
  <c r="N6" i="14" s="1"/>
  <c r="I34" i="14"/>
  <c r="I6" i="14" s="1"/>
  <c r="T34" i="14"/>
  <c r="T6" i="14" s="1"/>
  <c r="X34" i="14"/>
  <c r="X6" i="14" s="1"/>
  <c r="L34" i="14"/>
  <c r="L6" i="14" s="1"/>
  <c r="U34" i="14"/>
  <c r="S34" i="14"/>
  <c r="R34" i="14"/>
  <c r="R6" i="14" s="1"/>
  <c r="Y34" i="14"/>
  <c r="Y6" i="14" s="1"/>
  <c r="M34" i="14"/>
  <c r="M6" i="14" s="1"/>
  <c r="W34" i="14"/>
  <c r="W6" i="14" s="1"/>
  <c r="K34" i="14"/>
  <c r="K6" i="14" s="1"/>
  <c r="V34" i="14"/>
  <c r="V6" i="14" s="1"/>
  <c r="Z113" i="14"/>
  <c r="J113" i="14"/>
  <c r="I7" i="17"/>
  <c r="H53" i="14"/>
  <c r="AC14" i="14"/>
  <c r="U14" i="14"/>
  <c r="AB14" i="14"/>
  <c r="T14" i="14"/>
  <c r="L14" i="14"/>
  <c r="Q14" i="14"/>
  <c r="O14" i="14"/>
  <c r="R14" i="14"/>
  <c r="J14" i="14"/>
  <c r="X14" i="14"/>
  <c r="P14" i="14"/>
  <c r="H14" i="14"/>
  <c r="H17" i="14" s="1"/>
  <c r="AD14" i="14"/>
  <c r="V14" i="14"/>
  <c r="N14" i="14"/>
  <c r="M14" i="14"/>
  <c r="K14" i="14"/>
  <c r="AA14" i="14"/>
  <c r="Z14" i="14"/>
  <c r="W14" i="14"/>
  <c r="H28" i="14"/>
  <c r="S14" i="14"/>
  <c r="Y14" i="14"/>
  <c r="I14" i="14"/>
  <c r="H13" i="14"/>
  <c r="H17" i="17"/>
  <c r="I17" i="17" s="1"/>
  <c r="I21" i="17"/>
  <c r="I29" i="17"/>
  <c r="H8" i="17"/>
  <c r="I8" i="17" s="1"/>
  <c r="H14" i="17"/>
  <c r="I14" i="17" s="1"/>
  <c r="H18" i="17"/>
  <c r="I18" i="17" s="1"/>
  <c r="H22" i="17"/>
  <c r="I22" i="17" s="1"/>
  <c r="I11" i="17"/>
  <c r="I26" i="17"/>
  <c r="H15" i="17"/>
  <c r="I15" i="17" s="1"/>
  <c r="H19" i="17"/>
  <c r="I19" i="17" s="1"/>
  <c r="H6" i="17"/>
  <c r="I6" i="17" s="1"/>
  <c r="H9" i="17"/>
  <c r="I9" i="17" s="1"/>
  <c r="I23" i="17"/>
  <c r="I27" i="17"/>
  <c r="I12" i="17"/>
  <c r="H25" i="17"/>
  <c r="I25" i="17" s="1"/>
  <c r="S113" i="14" l="1"/>
  <c r="S6" i="14"/>
  <c r="U113" i="14"/>
  <c r="U6" i="14"/>
  <c r="X113" i="14"/>
  <c r="AC113" i="14"/>
  <c r="AD113" i="14"/>
  <c r="AB113" i="14"/>
  <c r="Q113" i="14"/>
  <c r="L113" i="14"/>
  <c r="AA113" i="14"/>
  <c r="H113" i="14"/>
  <c r="M113" i="14"/>
  <c r="P113" i="14"/>
  <c r="W113" i="14"/>
  <c r="O113" i="14"/>
  <c r="R113" i="14"/>
  <c r="T113" i="14"/>
  <c r="K113" i="14"/>
  <c r="Y113" i="14"/>
  <c r="V113" i="14"/>
  <c r="I113" i="14"/>
  <c r="N113" i="14"/>
  <c r="P38" i="14"/>
  <c r="P37" i="14"/>
  <c r="P111" i="14" s="1"/>
  <c r="Q38" i="14"/>
  <c r="M38" i="14"/>
  <c r="U38" i="14"/>
  <c r="U37" i="14"/>
  <c r="U111" i="14" s="1"/>
  <c r="R38" i="14"/>
  <c r="W38" i="14"/>
  <c r="X37" i="14"/>
  <c r="X111" i="14" s="1"/>
  <c r="O37" i="14"/>
  <c r="O111" i="14" s="1"/>
  <c r="R37" i="14"/>
  <c r="R111" i="14" s="1"/>
  <c r="Q37" i="14"/>
  <c r="Q111" i="14" s="1"/>
  <c r="L38" i="14"/>
  <c r="N37" i="14"/>
  <c r="N111" i="14" s="1"/>
  <c r="J38" i="14"/>
  <c r="N38" i="14"/>
  <c r="L37" i="14"/>
  <c r="L111" i="14" s="1"/>
  <c r="V37" i="14"/>
  <c r="V111" i="14" s="1"/>
  <c r="W37" i="14"/>
  <c r="W111" i="14" s="1"/>
  <c r="M37" i="14"/>
  <c r="M111" i="14" s="1"/>
  <c r="AC37" i="14"/>
  <c r="AC111" i="14" s="1"/>
  <c r="H36" i="14"/>
  <c r="H110" i="14" s="1"/>
  <c r="AC38" i="14"/>
  <c r="H37" i="14"/>
  <c r="H111" i="14" s="1"/>
  <c r="AD38" i="14"/>
  <c r="J37" i="14"/>
  <c r="J111" i="14" s="1"/>
  <c r="I37" i="14"/>
  <c r="I111" i="14" s="1"/>
  <c r="T38" i="14"/>
  <c r="Y37" i="14"/>
  <c r="Y111" i="14" s="1"/>
  <c r="H38" i="14"/>
  <c r="AB38" i="14"/>
  <c r="T37" i="14"/>
  <c r="T111" i="14" s="1"/>
  <c r="Y38" i="14"/>
  <c r="AB37" i="14"/>
  <c r="AB111" i="14" s="1"/>
  <c r="O38" i="14"/>
  <c r="AD37" i="14"/>
  <c r="AD111" i="14" s="1"/>
  <c r="K37" i="14"/>
  <c r="K111" i="14" s="1"/>
  <c r="S37" i="14"/>
  <c r="S111" i="14" s="1"/>
  <c r="Z38" i="14"/>
  <c r="Z37" i="14"/>
  <c r="Z111" i="14" s="1"/>
  <c r="AA37" i="14"/>
  <c r="AA111" i="14" s="1"/>
  <c r="S38" i="14"/>
  <c r="K38" i="14"/>
  <c r="X38" i="14"/>
  <c r="I38" i="14"/>
  <c r="V38" i="14"/>
  <c r="AA38" i="14"/>
  <c r="H16" i="14"/>
  <c r="AA33" i="15" l="1"/>
  <c r="Z33" i="15"/>
  <c r="Y33" i="15"/>
  <c r="X33" i="15"/>
  <c r="W33" i="15"/>
  <c r="V33" i="15"/>
  <c r="U33" i="15"/>
  <c r="T33" i="15"/>
  <c r="S33" i="15"/>
  <c r="R33" i="15"/>
  <c r="Q33" i="15"/>
  <c r="P33" i="15"/>
  <c r="O33" i="15"/>
  <c r="N33" i="15"/>
  <c r="M33" i="15"/>
  <c r="L33" i="15"/>
  <c r="K33" i="15"/>
  <c r="J33" i="15"/>
  <c r="I33" i="15"/>
  <c r="H33" i="15"/>
  <c r="G33" i="15"/>
  <c r="F33" i="15"/>
  <c r="E33" i="15"/>
  <c r="D45" i="14"/>
  <c r="D44" i="14"/>
  <c r="D43" i="14"/>
  <c r="H43" i="14" s="1"/>
  <c r="F39" i="14"/>
  <c r="D39" i="14"/>
  <c r="F33" i="14"/>
  <c r="D33" i="14"/>
  <c r="AD33" i="14" s="1"/>
  <c r="F29" i="14"/>
  <c r="D29" i="14"/>
  <c r="V29" i="14" s="1"/>
  <c r="F23" i="14"/>
  <c r="D23" i="14"/>
  <c r="H23" i="14" s="1"/>
  <c r="H80" i="14" s="1"/>
  <c r="D18" i="14"/>
  <c r="F15" i="14"/>
  <c r="D15" i="14"/>
  <c r="P42" i="13"/>
  <c r="M42" i="13"/>
  <c r="J42" i="13"/>
  <c r="G42" i="13"/>
  <c r="B40" i="13"/>
  <c r="B36" i="13"/>
  <c r="B30" i="13"/>
  <c r="B26" i="13"/>
  <c r="S39" i="14" l="1"/>
  <c r="H39" i="14"/>
  <c r="H115" i="14" s="1"/>
  <c r="AD39" i="14"/>
  <c r="T39" i="14"/>
  <c r="AA39" i="14"/>
  <c r="I39" i="14"/>
  <c r="I115" i="14" s="1"/>
  <c r="U39" i="14"/>
  <c r="AB39" i="14"/>
  <c r="J39" i="14"/>
  <c r="V39" i="14"/>
  <c r="Z39" i="14"/>
  <c r="AC39" i="14"/>
  <c r="K39" i="14"/>
  <c r="W39" i="14"/>
  <c r="L39" i="14"/>
  <c r="X39" i="14"/>
  <c r="Y39" i="14"/>
  <c r="N39" i="14"/>
  <c r="O39" i="14"/>
  <c r="P39" i="14"/>
  <c r="Q39" i="14"/>
  <c r="R39" i="14"/>
  <c r="M39" i="14"/>
  <c r="K18" i="14"/>
  <c r="K19" i="14" s="1"/>
  <c r="S18" i="14"/>
  <c r="AA18" i="14"/>
  <c r="AA19" i="14" s="1"/>
  <c r="W18" i="14"/>
  <c r="W19" i="14" s="1"/>
  <c r="R18" i="14"/>
  <c r="L18" i="14"/>
  <c r="T18" i="14"/>
  <c r="AB18" i="14"/>
  <c r="M18" i="14"/>
  <c r="U18" i="14"/>
  <c r="AC18" i="14"/>
  <c r="P18" i="14"/>
  <c r="N18" i="14"/>
  <c r="N19" i="14" s="1"/>
  <c r="V18" i="14"/>
  <c r="V19" i="14" s="1"/>
  <c r="AD18" i="14"/>
  <c r="O18" i="14"/>
  <c r="I18" i="14"/>
  <c r="I21" i="14" s="1"/>
  <c r="I25" i="14" s="1"/>
  <c r="Z18" i="14"/>
  <c r="X18" i="14"/>
  <c r="X19" i="14" s="1"/>
  <c r="J18" i="14"/>
  <c r="J21" i="14" s="1"/>
  <c r="J25" i="14" s="1"/>
  <c r="H18" i="14"/>
  <c r="Q18" i="14"/>
  <c r="Y18" i="14"/>
  <c r="N43" i="14"/>
  <c r="V43" i="14"/>
  <c r="AD43" i="14"/>
  <c r="Z43" i="14"/>
  <c r="O43" i="14"/>
  <c r="W43" i="14"/>
  <c r="P43" i="14"/>
  <c r="X43" i="14"/>
  <c r="R43" i="14"/>
  <c r="I43" i="14"/>
  <c r="Q43" i="14"/>
  <c r="Y43" i="14"/>
  <c r="J43" i="14"/>
  <c r="K43" i="14"/>
  <c r="S43" i="14"/>
  <c r="AA43" i="14"/>
  <c r="L43" i="14"/>
  <c r="T43" i="14"/>
  <c r="AB43" i="14"/>
  <c r="M43" i="14"/>
  <c r="U43" i="14"/>
  <c r="AC43" i="14"/>
  <c r="V23" i="14"/>
  <c r="V80" i="14" s="1"/>
  <c r="V15" i="14"/>
  <c r="H15" i="14"/>
  <c r="H61" i="14" s="1"/>
  <c r="T114" i="14"/>
  <c r="V33" i="14"/>
  <c r="Q12" i="14"/>
  <c r="W33" i="14"/>
  <c r="V12" i="14"/>
  <c r="I27" i="14"/>
  <c r="J33" i="14"/>
  <c r="AA33" i="14"/>
  <c r="H33" i="14"/>
  <c r="H69" i="14" s="1"/>
  <c r="Y33" i="14"/>
  <c r="Z33" i="14"/>
  <c r="K33" i="14"/>
  <c r="M33" i="14"/>
  <c r="U12" i="14"/>
  <c r="I33" i="14"/>
  <c r="Z12" i="14"/>
  <c r="K27" i="14"/>
  <c r="AA12" i="14"/>
  <c r="U27" i="14"/>
  <c r="N33" i="14"/>
  <c r="P12" i="14"/>
  <c r="R12" i="14"/>
  <c r="Y12" i="14"/>
  <c r="J27" i="14"/>
  <c r="V27" i="14"/>
  <c r="O33" i="14"/>
  <c r="S33" i="14"/>
  <c r="I12" i="14"/>
  <c r="W27" i="14"/>
  <c r="J12" i="14"/>
  <c r="X27" i="14"/>
  <c r="T33" i="14"/>
  <c r="K12" i="14"/>
  <c r="U33" i="14"/>
  <c r="K23" i="14"/>
  <c r="K80" i="14" s="1"/>
  <c r="K15" i="14"/>
  <c r="K101" i="14" s="1"/>
  <c r="W15" i="14"/>
  <c r="W23" i="14"/>
  <c r="W80" i="14" s="1"/>
  <c r="K29" i="14"/>
  <c r="W29" i="14"/>
  <c r="W12" i="14"/>
  <c r="Z27" i="14"/>
  <c r="L15" i="14"/>
  <c r="L101" i="14" s="1"/>
  <c r="X15" i="14"/>
  <c r="X101" i="14" s="1"/>
  <c r="L23" i="14"/>
  <c r="L80" i="14" s="1"/>
  <c r="X23" i="14"/>
  <c r="X80" i="14" s="1"/>
  <c r="L29" i="14"/>
  <c r="X29" i="14"/>
  <c r="L33" i="14"/>
  <c r="X33" i="14"/>
  <c r="Y15" i="14"/>
  <c r="Y101" i="14" s="1"/>
  <c r="Y23" i="14"/>
  <c r="Y80" i="14" s="1"/>
  <c r="Y29" i="14"/>
  <c r="M23" i="14"/>
  <c r="M80" i="14" s="1"/>
  <c r="N15" i="14"/>
  <c r="N101" i="14" s="1"/>
  <c r="Z15" i="14"/>
  <c r="Z101" i="14" s="1"/>
  <c r="N23" i="14"/>
  <c r="N80" i="14" s="1"/>
  <c r="Z23" i="14"/>
  <c r="Z80" i="14" s="1"/>
  <c r="N29" i="14"/>
  <c r="Z29" i="14"/>
  <c r="M12" i="14"/>
  <c r="AB12" i="14"/>
  <c r="R27" i="14"/>
  <c r="P15" i="14"/>
  <c r="P101" i="14" s="1"/>
  <c r="AB15" i="14"/>
  <c r="AB101" i="14" s="1"/>
  <c r="P23" i="14"/>
  <c r="P80" i="14" s="1"/>
  <c r="AB23" i="14"/>
  <c r="AB80" i="14" s="1"/>
  <c r="P29" i="14"/>
  <c r="AB29" i="14"/>
  <c r="P33" i="14"/>
  <c r="AB33" i="14"/>
  <c r="M29" i="14"/>
  <c r="N12" i="14"/>
  <c r="AC12" i="14"/>
  <c r="S27" i="14"/>
  <c r="Q15" i="14"/>
  <c r="Q101" i="14" s="1"/>
  <c r="AC15" i="14"/>
  <c r="AC101" i="14" s="1"/>
  <c r="Q23" i="14"/>
  <c r="Q80" i="14" s="1"/>
  <c r="AC23" i="14"/>
  <c r="AC80" i="14" s="1"/>
  <c r="Q29" i="14"/>
  <c r="AC29" i="14"/>
  <c r="Q33" i="14"/>
  <c r="AC33" i="14"/>
  <c r="M15" i="14"/>
  <c r="M101" i="14" s="1"/>
  <c r="D30" i="14"/>
  <c r="O15" i="14"/>
  <c r="O101" i="14" s="1"/>
  <c r="AA15" i="14"/>
  <c r="AA101" i="14" s="1"/>
  <c r="O23" i="14"/>
  <c r="O80" i="14" s="1"/>
  <c r="AA23" i="14"/>
  <c r="AA80" i="14" s="1"/>
  <c r="O29" i="14"/>
  <c r="AA29" i="14"/>
  <c r="O12" i="14"/>
  <c r="AD12" i="14"/>
  <c r="T27" i="14"/>
  <c r="R15" i="14"/>
  <c r="R101" i="14" s="1"/>
  <c r="AD15" i="14"/>
  <c r="AD101" i="14" s="1"/>
  <c r="R23" i="14"/>
  <c r="R80" i="14" s="1"/>
  <c r="AD23" i="14"/>
  <c r="AD80" i="14" s="1"/>
  <c r="R29" i="14"/>
  <c r="AD29" i="14"/>
  <c r="R33" i="14"/>
  <c r="S15" i="14"/>
  <c r="S101" i="14" s="1"/>
  <c r="S23" i="14"/>
  <c r="S80" i="14" s="1"/>
  <c r="S29" i="14"/>
  <c r="T15" i="14"/>
  <c r="T23" i="14"/>
  <c r="T80" i="14" s="1"/>
  <c r="H29" i="14"/>
  <c r="T29" i="14"/>
  <c r="I15" i="14"/>
  <c r="I101" i="14" s="1"/>
  <c r="U15" i="14"/>
  <c r="I23" i="14"/>
  <c r="I80" i="14" s="1"/>
  <c r="U23" i="14"/>
  <c r="U80" i="14" s="1"/>
  <c r="I29" i="14"/>
  <c r="U29" i="14"/>
  <c r="J15" i="14"/>
  <c r="J101" i="14" s="1"/>
  <c r="J23" i="14"/>
  <c r="J80" i="14" s="1"/>
  <c r="J29" i="14"/>
  <c r="P114" i="14"/>
  <c r="O114" i="14"/>
  <c r="Q114" i="14"/>
  <c r="W114" i="14"/>
  <c r="I114" i="14"/>
  <c r="X114" i="14"/>
  <c r="J114" i="14"/>
  <c r="Y114" i="14"/>
  <c r="K114" i="14"/>
  <c r="AA114" i="14"/>
  <c r="M114" i="14"/>
  <c r="AB114" i="14"/>
  <c r="U114" i="14"/>
  <c r="V114" i="14"/>
  <c r="Z114" i="14"/>
  <c r="L114" i="14"/>
  <c r="N114" i="14"/>
  <c r="AC114" i="14"/>
  <c r="R114" i="14"/>
  <c r="AD114" i="14"/>
  <c r="S114" i="14"/>
  <c r="H114" i="14"/>
  <c r="Y27" i="14"/>
  <c r="AC89" i="14" l="1"/>
  <c r="AB89" i="14"/>
  <c r="K89" i="14"/>
  <c r="Q89" i="14"/>
  <c r="P89" i="14"/>
  <c r="AA89" i="14"/>
  <c r="X89" i="14"/>
  <c r="L89" i="14"/>
  <c r="N89" i="14"/>
  <c r="U89" i="14"/>
  <c r="Z89" i="14"/>
  <c r="J89" i="14"/>
  <c r="T89" i="14"/>
  <c r="Y89" i="14"/>
  <c r="V89" i="14"/>
  <c r="V61" i="14"/>
  <c r="V101" i="14"/>
  <c r="I89" i="14"/>
  <c r="W89" i="14"/>
  <c r="O89" i="14"/>
  <c r="U61" i="14"/>
  <c r="U101" i="14"/>
  <c r="W61" i="14"/>
  <c r="W101" i="14"/>
  <c r="S89" i="14"/>
  <c r="M89" i="14"/>
  <c r="AD89" i="14"/>
  <c r="R89" i="14"/>
  <c r="T61" i="14"/>
  <c r="T101" i="14"/>
  <c r="I22" i="14"/>
  <c r="I78" i="14" s="1"/>
  <c r="AC69" i="14"/>
  <c r="Q69" i="14"/>
  <c r="S69" i="14"/>
  <c r="Z69" i="14"/>
  <c r="M69" i="14"/>
  <c r="X69" i="14"/>
  <c r="L69" i="14"/>
  <c r="Y69" i="14"/>
  <c r="N69" i="14"/>
  <c r="K69" i="14"/>
  <c r="W69" i="14"/>
  <c r="U69" i="14"/>
  <c r="O69" i="14"/>
  <c r="V69" i="14"/>
  <c r="AB69" i="14"/>
  <c r="P69" i="14"/>
  <c r="T69" i="14"/>
  <c r="AA69" i="14"/>
  <c r="R69" i="14"/>
  <c r="I69" i="14"/>
  <c r="J69" i="14"/>
  <c r="AD69" i="14"/>
  <c r="AD119" i="14"/>
  <c r="Z115" i="14"/>
  <c r="R115" i="14"/>
  <c r="N115" i="14"/>
  <c r="K115" i="14"/>
  <c r="X115" i="14"/>
  <c r="V115" i="14"/>
  <c r="AD115" i="14"/>
  <c r="Y115" i="14"/>
  <c r="U115" i="14"/>
  <c r="Q115" i="14"/>
  <c r="S115" i="14"/>
  <c r="AB115" i="14"/>
  <c r="P115" i="14"/>
  <c r="AC115" i="14"/>
  <c r="M115" i="14"/>
  <c r="AA115" i="14"/>
  <c r="W115" i="14"/>
  <c r="J115" i="14"/>
  <c r="L115" i="14"/>
  <c r="O115" i="14"/>
  <c r="T115" i="14"/>
  <c r="H89" i="14"/>
  <c r="H21" i="14"/>
  <c r="H25" i="14" s="1"/>
  <c r="H22" i="14"/>
  <c r="H78" i="14" s="1"/>
  <c r="H52" i="14"/>
  <c r="H54" i="14" s="1"/>
  <c r="H55" i="14" s="1"/>
  <c r="J19" i="14"/>
  <c r="J22" i="14"/>
  <c r="J78" i="14" s="1"/>
  <c r="H101" i="14"/>
  <c r="O22" i="14"/>
  <c r="O78" i="14" s="1"/>
  <c r="O21" i="14"/>
  <c r="O25" i="14" s="1"/>
  <c r="AB22" i="14"/>
  <c r="AB78" i="14" s="1"/>
  <c r="AB21" i="14"/>
  <c r="AB25" i="14" s="1"/>
  <c r="Y22" i="14"/>
  <c r="Y78" i="14" s="1"/>
  <c r="Y21" i="14"/>
  <c r="Y25" i="14" s="1"/>
  <c r="AD22" i="14"/>
  <c r="AD78" i="14" s="1"/>
  <c r="AD21" i="14"/>
  <c r="AD25" i="14" s="1"/>
  <c r="T22" i="14"/>
  <c r="T78" i="14" s="1"/>
  <c r="T21" i="14"/>
  <c r="T25" i="14" s="1"/>
  <c r="L22" i="14"/>
  <c r="L78" i="14" s="1"/>
  <c r="L21" i="14"/>
  <c r="L25" i="14" s="1"/>
  <c r="N22" i="14"/>
  <c r="N78" i="14" s="1"/>
  <c r="N21" i="14"/>
  <c r="N25" i="14" s="1"/>
  <c r="R22" i="14"/>
  <c r="R78" i="14" s="1"/>
  <c r="R21" i="14"/>
  <c r="R25" i="14" s="1"/>
  <c r="V22" i="14"/>
  <c r="V78" i="14" s="1"/>
  <c r="V21" i="14"/>
  <c r="V25" i="14" s="1"/>
  <c r="P22" i="14"/>
  <c r="P78" i="14" s="1"/>
  <c r="P21" i="14"/>
  <c r="P25" i="14" s="1"/>
  <c r="W22" i="14"/>
  <c r="W78" i="14" s="1"/>
  <c r="W21" i="14"/>
  <c r="W25" i="14" s="1"/>
  <c r="L19" i="14"/>
  <c r="X22" i="14"/>
  <c r="X78" i="14" s="1"/>
  <c r="X21" i="14"/>
  <c r="X25" i="14" s="1"/>
  <c r="AC22" i="14"/>
  <c r="AC78" i="14" s="1"/>
  <c r="AC21" i="14"/>
  <c r="AC25" i="14" s="1"/>
  <c r="AA22" i="14"/>
  <c r="AA78" i="14" s="1"/>
  <c r="AA21" i="14"/>
  <c r="AA25" i="14" s="1"/>
  <c r="Q22" i="14"/>
  <c r="Q78" i="14" s="1"/>
  <c r="Q21" i="14"/>
  <c r="Q25" i="14" s="1"/>
  <c r="Z22" i="14"/>
  <c r="Z78" i="14" s="1"/>
  <c r="Z21" i="14"/>
  <c r="Z25" i="14" s="1"/>
  <c r="U22" i="14"/>
  <c r="U78" i="14" s="1"/>
  <c r="U21" i="14"/>
  <c r="U25" i="14" s="1"/>
  <c r="S22" i="14"/>
  <c r="S78" i="14" s="1"/>
  <c r="S21" i="14"/>
  <c r="S25" i="14" s="1"/>
  <c r="M22" i="14"/>
  <c r="M78" i="14" s="1"/>
  <c r="M21" i="14"/>
  <c r="M25" i="14" s="1"/>
  <c r="K22" i="14"/>
  <c r="K78" i="14" s="1"/>
  <c r="K21" i="14"/>
  <c r="K25" i="14" s="1"/>
  <c r="H20" i="14"/>
  <c r="H24" i="14" s="1"/>
  <c r="H19" i="14"/>
  <c r="Y19" i="14"/>
  <c r="L30" i="14"/>
  <c r="L31" i="14" s="1"/>
  <c r="T30" i="14"/>
  <c r="T31" i="14" s="1"/>
  <c r="AB30" i="14"/>
  <c r="AB32" i="14" s="1"/>
  <c r="P30" i="14"/>
  <c r="P32" i="14" s="1"/>
  <c r="M30" i="14"/>
  <c r="M32" i="14" s="1"/>
  <c r="U30" i="14"/>
  <c r="U31" i="14" s="1"/>
  <c r="AC30" i="14"/>
  <c r="AC32" i="14" s="1"/>
  <c r="N30" i="14"/>
  <c r="N32" i="14" s="1"/>
  <c r="V30" i="14"/>
  <c r="V32" i="14" s="1"/>
  <c r="AD30" i="14"/>
  <c r="AD32" i="14" s="1"/>
  <c r="H30" i="14"/>
  <c r="H31" i="14" s="1"/>
  <c r="X30" i="14"/>
  <c r="X32" i="14" s="1"/>
  <c r="O30" i="14"/>
  <c r="O31" i="14" s="1"/>
  <c r="W30" i="14"/>
  <c r="W32" i="14" s="1"/>
  <c r="I30" i="14"/>
  <c r="I32" i="14" s="1"/>
  <c r="Q30" i="14"/>
  <c r="Q32" i="14" s="1"/>
  <c r="Y30" i="14"/>
  <c r="Y32" i="14" s="1"/>
  <c r="J30" i="14"/>
  <c r="J32" i="14" s="1"/>
  <c r="R30" i="14"/>
  <c r="R32" i="14" s="1"/>
  <c r="Z30" i="14"/>
  <c r="Z31" i="14" s="1"/>
  <c r="K30" i="14"/>
  <c r="K32" i="14" s="1"/>
  <c r="S30" i="14"/>
  <c r="S32" i="14" s="1"/>
  <c r="AA30" i="14"/>
  <c r="AA31" i="14" s="1"/>
  <c r="AA70" i="14" s="1"/>
  <c r="P117" i="14"/>
  <c r="P17" i="14"/>
  <c r="AD17" i="14"/>
  <c r="AD117" i="14"/>
  <c r="I117" i="14"/>
  <c r="I17" i="14"/>
  <c r="L17" i="14"/>
  <c r="L117" i="14"/>
  <c r="Q17" i="14"/>
  <c r="Q117" i="14"/>
  <c r="S17" i="14"/>
  <c r="S117" i="14"/>
  <c r="R17" i="14"/>
  <c r="R117" i="14"/>
  <c r="U17" i="14"/>
  <c r="U117" i="14"/>
  <c r="J117" i="14"/>
  <c r="J17" i="14"/>
  <c r="M17" i="14"/>
  <c r="M117" i="14"/>
  <c r="T117" i="14"/>
  <c r="T17" i="14"/>
  <c r="Y17" i="14"/>
  <c r="Y117" i="14"/>
  <c r="AB117" i="14"/>
  <c r="AB17" i="14"/>
  <c r="AC17" i="14"/>
  <c r="AC117" i="14"/>
  <c r="V117" i="14"/>
  <c r="V17" i="14"/>
  <c r="H117" i="14"/>
  <c r="K117" i="14"/>
  <c r="K17" i="14"/>
  <c r="X17" i="14"/>
  <c r="X117" i="14"/>
  <c r="AA117" i="14"/>
  <c r="AA17" i="14"/>
  <c r="O117" i="14"/>
  <c r="O17" i="14"/>
  <c r="N117" i="14"/>
  <c r="N17" i="14"/>
  <c r="W117" i="14"/>
  <c r="W17" i="14"/>
  <c r="Z117" i="14"/>
  <c r="Z17" i="14"/>
  <c r="AC61" i="14"/>
  <c r="R52" i="14"/>
  <c r="U52" i="14"/>
  <c r="V53" i="14"/>
  <c r="I53" i="14"/>
  <c r="L52" i="14"/>
  <c r="R53" i="14"/>
  <c r="J53" i="14"/>
  <c r="AC28" i="14"/>
  <c r="AA61" i="14"/>
  <c r="K43" i="13"/>
  <c r="U53" i="14"/>
  <c r="W53" i="14"/>
  <c r="S52" i="14"/>
  <c r="Q61" i="14"/>
  <c r="O61" i="14"/>
  <c r="J61" i="14"/>
  <c r="Q52" i="14"/>
  <c r="AD52" i="14"/>
  <c r="AD61" i="14"/>
  <c r="P61" i="14"/>
  <c r="K61" i="14"/>
  <c r="AB52" i="14"/>
  <c r="AC52" i="14"/>
  <c r="AB61" i="14"/>
  <c r="P52" i="14"/>
  <c r="AC13" i="14"/>
  <c r="AC16" i="14" s="1"/>
  <c r="Y61" i="14"/>
  <c r="S61" i="14"/>
  <c r="Z61" i="14"/>
  <c r="N61" i="14"/>
  <c r="M61" i="14"/>
  <c r="R61" i="14"/>
  <c r="X61" i="14"/>
  <c r="I61" i="14"/>
  <c r="L61" i="14"/>
  <c r="I52" i="14"/>
  <c r="AC20" i="14"/>
  <c r="AC24" i="14" s="1"/>
  <c r="W20" i="14"/>
  <c r="W24" i="14" s="1"/>
  <c r="W28" i="14"/>
  <c r="W13" i="14"/>
  <c r="W16" i="14" s="1"/>
  <c r="Z28" i="14"/>
  <c r="Z13" i="14"/>
  <c r="Z16" i="14" s="1"/>
  <c r="Z20" i="14"/>
  <c r="Z24" i="14" s="1"/>
  <c r="P13" i="14"/>
  <c r="P16" i="14" s="1"/>
  <c r="P28" i="14"/>
  <c r="P20" i="14"/>
  <c r="P24" i="14" s="1"/>
  <c r="U28" i="14"/>
  <c r="U13" i="14"/>
  <c r="U16" i="14" s="1"/>
  <c r="U20" i="14"/>
  <c r="U24" i="14" s="1"/>
  <c r="O13" i="14"/>
  <c r="O16" i="14" s="1"/>
  <c r="O28" i="14"/>
  <c r="O20" i="14"/>
  <c r="O24" i="14" s="1"/>
  <c r="L20" i="14"/>
  <c r="L24" i="14" s="1"/>
  <c r="L28" i="14"/>
  <c r="L13" i="14"/>
  <c r="Y20" i="14"/>
  <c r="Y24" i="14" s="1"/>
  <c r="Y28" i="14"/>
  <c r="Y13" i="14"/>
  <c r="Y16" i="14" s="1"/>
  <c r="R28" i="14"/>
  <c r="R20" i="14"/>
  <c r="R24" i="14" s="1"/>
  <c r="R13" i="14"/>
  <c r="R16" i="14" s="1"/>
  <c r="I28" i="14"/>
  <c r="I13" i="14"/>
  <c r="I20" i="14"/>
  <c r="I24" i="14" s="1"/>
  <c r="V13" i="14"/>
  <c r="V16" i="14" s="1"/>
  <c r="V20" i="14"/>
  <c r="V24" i="14" s="1"/>
  <c r="V28" i="14"/>
  <c r="AA13" i="14"/>
  <c r="AA16" i="14" s="1"/>
  <c r="AA28" i="14"/>
  <c r="AA20" i="14"/>
  <c r="AA24" i="14" s="1"/>
  <c r="Q28" i="14"/>
  <c r="Q13" i="14"/>
  <c r="Q16" i="14" s="1"/>
  <c r="Q20" i="14"/>
  <c r="Q24" i="14" s="1"/>
  <c r="X20" i="14"/>
  <c r="X24" i="14" s="1"/>
  <c r="X28" i="14"/>
  <c r="X13" i="14"/>
  <c r="X16" i="14" s="1"/>
  <c r="J13" i="14"/>
  <c r="J20" i="14"/>
  <c r="J24" i="14" s="1"/>
  <c r="J28" i="14"/>
  <c r="M20" i="14"/>
  <c r="M24" i="14" s="1"/>
  <c r="M28" i="14"/>
  <c r="M13" i="14"/>
  <c r="S13" i="14"/>
  <c r="S16" i="14" s="1"/>
  <c r="S28" i="14"/>
  <c r="S20" i="14"/>
  <c r="S24" i="14" s="1"/>
  <c r="T28" i="14"/>
  <c r="T13" i="14"/>
  <c r="T16" i="14" s="1"/>
  <c r="T20" i="14"/>
  <c r="T24" i="14" s="1"/>
  <c r="AD20" i="14"/>
  <c r="AD24" i="14" s="1"/>
  <c r="AD28" i="14"/>
  <c r="AD13" i="14"/>
  <c r="AD16" i="14" s="1"/>
  <c r="AB28" i="14"/>
  <c r="AB13" i="14"/>
  <c r="AB16" i="14" s="1"/>
  <c r="AB20" i="14"/>
  <c r="AB24" i="14" s="1"/>
  <c r="K20" i="14"/>
  <c r="K24" i="14" s="1"/>
  <c r="K28" i="14"/>
  <c r="K13" i="14"/>
  <c r="N28" i="14"/>
  <c r="N13" i="14"/>
  <c r="N20" i="14"/>
  <c r="N24" i="14" s="1"/>
  <c r="J52" i="14"/>
  <c r="X52" i="14"/>
  <c r="M52" i="14"/>
  <c r="K52" i="14"/>
  <c r="W52" i="14"/>
  <c r="V52" i="14"/>
  <c r="Z52" i="14"/>
  <c r="I19" i="14"/>
  <c r="AB19" i="14"/>
  <c r="P19" i="14"/>
  <c r="U19" i="14"/>
  <c r="T12" i="14"/>
  <c r="Y52" i="14"/>
  <c r="O27" i="14"/>
  <c r="O53" i="14" s="1"/>
  <c r="L12" i="14"/>
  <c r="N52" i="14"/>
  <c r="AA27" i="14"/>
  <c r="AA53" i="14" s="1"/>
  <c r="Y53" i="14"/>
  <c r="R19" i="14"/>
  <c r="O52" i="14"/>
  <c r="Z19" i="14"/>
  <c r="K53" i="14"/>
  <c r="AC19" i="14"/>
  <c r="M27" i="14"/>
  <c r="M53" i="14" s="1"/>
  <c r="X12" i="14"/>
  <c r="AD19" i="14"/>
  <c r="T19" i="14"/>
  <c r="AA52" i="14"/>
  <c r="M19" i="14"/>
  <c r="S19" i="14"/>
  <c r="Q19" i="14"/>
  <c r="Q27" i="14"/>
  <c r="Q53" i="14" s="1"/>
  <c r="AD27" i="14"/>
  <c r="AD53" i="14" s="1"/>
  <c r="T52" i="14"/>
  <c r="Z53" i="14"/>
  <c r="N27" i="14"/>
  <c r="N53" i="14" s="1"/>
  <c r="S12" i="14"/>
  <c r="AC27" i="14"/>
  <c r="AC53" i="14" s="1"/>
  <c r="L27" i="14"/>
  <c r="P27" i="14"/>
  <c r="P53" i="14" s="1"/>
  <c r="AB27" i="14"/>
  <c r="AB53" i="14" s="1"/>
  <c r="O19" i="14"/>
  <c r="O70" i="14" l="1"/>
  <c r="O71" i="14" s="1"/>
  <c r="O72" i="14" s="1"/>
  <c r="T70" i="14"/>
  <c r="T71" i="14" s="1"/>
  <c r="T72" i="14" s="1"/>
  <c r="Z70" i="14"/>
  <c r="Z71" i="14" s="1"/>
  <c r="Z72" i="14" s="1"/>
  <c r="Z75" i="14" s="1"/>
  <c r="Z76" i="14" s="1"/>
  <c r="Z77" i="14" s="1"/>
  <c r="U70" i="14"/>
  <c r="U71" i="14" s="1"/>
  <c r="U72" i="14" s="1"/>
  <c r="L70" i="14"/>
  <c r="L71" i="14" s="1"/>
  <c r="L72" i="14" s="1"/>
  <c r="AA71" i="14"/>
  <c r="AA72" i="14" s="1"/>
  <c r="H58" i="14"/>
  <c r="H59" i="14" s="1"/>
  <c r="H60" i="14" s="1"/>
  <c r="H56" i="14"/>
  <c r="H57" i="14" s="1"/>
  <c r="H44" i="14"/>
  <c r="AB31" i="14"/>
  <c r="AB70" i="14" s="1"/>
  <c r="AB71" i="14" s="1"/>
  <c r="AB72" i="14" s="1"/>
  <c r="K16" i="14"/>
  <c r="J16" i="14"/>
  <c r="I16" i="14"/>
  <c r="N16" i="14"/>
  <c r="L16" i="14"/>
  <c r="M16" i="14"/>
  <c r="H32" i="14"/>
  <c r="Z32" i="14"/>
  <c r="AA32" i="14"/>
  <c r="AD31" i="14"/>
  <c r="AD70" i="14" s="1"/>
  <c r="AD71" i="14" s="1"/>
  <c r="AD72" i="14" s="1"/>
  <c r="V54" i="14"/>
  <c r="V55" i="14" s="1"/>
  <c r="V58" i="14" s="1"/>
  <c r="V59" i="14" s="1"/>
  <c r="V60" i="14" s="1"/>
  <c r="U54" i="14"/>
  <c r="U55" i="14" s="1"/>
  <c r="U58" i="14" s="1"/>
  <c r="U59" i="14" s="1"/>
  <c r="U60" i="14" s="1"/>
  <c r="R54" i="14"/>
  <c r="R55" i="14" s="1"/>
  <c r="R58" i="14" s="1"/>
  <c r="R59" i="14" s="1"/>
  <c r="R60" i="14" s="1"/>
  <c r="I54" i="14"/>
  <c r="I55" i="14" s="1"/>
  <c r="I58" i="14" s="1"/>
  <c r="I59" i="14" s="1"/>
  <c r="I60" i="14" s="1"/>
  <c r="J54" i="14"/>
  <c r="J55" i="14" s="1"/>
  <c r="J58" i="14" s="1"/>
  <c r="J59" i="14" s="1"/>
  <c r="J60" i="14" s="1"/>
  <c r="Q31" i="14"/>
  <c r="Q70" i="14" s="1"/>
  <c r="Q71" i="14" s="1"/>
  <c r="Q72" i="14" s="1"/>
  <c r="AD54" i="14"/>
  <c r="AD55" i="14" s="1"/>
  <c r="AD58" i="14" s="1"/>
  <c r="AD59" i="14" s="1"/>
  <c r="AD60" i="14" s="1"/>
  <c r="U32" i="14"/>
  <c r="N31" i="14"/>
  <c r="N70" i="14" s="1"/>
  <c r="N71" i="14" s="1"/>
  <c r="N72" i="14" s="1"/>
  <c r="S31" i="14"/>
  <c r="S70" i="14" s="1"/>
  <c r="S71" i="14" s="1"/>
  <c r="S72" i="14" s="1"/>
  <c r="P31" i="14"/>
  <c r="P70" i="14" s="1"/>
  <c r="P71" i="14" s="1"/>
  <c r="P72" i="14" s="1"/>
  <c r="AB54" i="14"/>
  <c r="AB55" i="14" s="1"/>
  <c r="AB58" i="14" s="1"/>
  <c r="AB59" i="14" s="1"/>
  <c r="AB60" i="14" s="1"/>
  <c r="K31" i="14"/>
  <c r="K70" i="14" s="1"/>
  <c r="K71" i="14" s="1"/>
  <c r="K72" i="14" s="1"/>
  <c r="AC54" i="14"/>
  <c r="AC55" i="14" s="1"/>
  <c r="AC58" i="14" s="1"/>
  <c r="AC59" i="14" s="1"/>
  <c r="AC60" i="14" s="1"/>
  <c r="W54" i="14"/>
  <c r="W55" i="14" s="1"/>
  <c r="W58" i="14" s="1"/>
  <c r="W59" i="14" s="1"/>
  <c r="W60" i="14" s="1"/>
  <c r="W31" i="14"/>
  <c r="W70" i="14" s="1"/>
  <c r="W71" i="14" s="1"/>
  <c r="W72" i="14" s="1"/>
  <c r="J31" i="14"/>
  <c r="J70" i="14" s="1"/>
  <c r="J71" i="14" s="1"/>
  <c r="J72" i="14" s="1"/>
  <c r="V31" i="14"/>
  <c r="V70" i="14" s="1"/>
  <c r="V71" i="14" s="1"/>
  <c r="V72" i="14" s="1"/>
  <c r="Y31" i="14"/>
  <c r="Y70" i="14" s="1"/>
  <c r="Y71" i="14" s="1"/>
  <c r="Y72" i="14" s="1"/>
  <c r="Q54" i="14"/>
  <c r="Q55" i="14" s="1"/>
  <c r="Q58" i="14" s="1"/>
  <c r="Q59" i="14" s="1"/>
  <c r="Q60" i="14" s="1"/>
  <c r="P54" i="14"/>
  <c r="P55" i="14" s="1"/>
  <c r="P58" i="14" s="1"/>
  <c r="P59" i="14" s="1"/>
  <c r="P60" i="14" s="1"/>
  <c r="O32" i="14"/>
  <c r="I31" i="14"/>
  <c r="I70" i="14" s="1"/>
  <c r="I71" i="14" s="1"/>
  <c r="I72" i="14" s="1"/>
  <c r="M31" i="14"/>
  <c r="M70" i="14" s="1"/>
  <c r="M71" i="14" s="1"/>
  <c r="M72" i="14" s="1"/>
  <c r="L32" i="14"/>
  <c r="X31" i="14"/>
  <c r="X70" i="14" s="1"/>
  <c r="X71" i="14" s="1"/>
  <c r="X72" i="14" s="1"/>
  <c r="M54" i="14"/>
  <c r="M55" i="14" s="1"/>
  <c r="M58" i="14" s="1"/>
  <c r="M59" i="14" s="1"/>
  <c r="M60" i="14" s="1"/>
  <c r="T32" i="14"/>
  <c r="AC31" i="14"/>
  <c r="AC70" i="14" s="1"/>
  <c r="AC71" i="14" s="1"/>
  <c r="AC72" i="14" s="1"/>
  <c r="R31" i="14"/>
  <c r="R70" i="14" s="1"/>
  <c r="R71" i="14" s="1"/>
  <c r="R72" i="14" s="1"/>
  <c r="O54" i="14"/>
  <c r="O55" i="14" s="1"/>
  <c r="O58" i="14" s="1"/>
  <c r="O59" i="14" s="1"/>
  <c r="O60" i="14" s="1"/>
  <c r="K54" i="14"/>
  <c r="K55" i="14" s="1"/>
  <c r="K58" i="14" s="1"/>
  <c r="K59" i="14" s="1"/>
  <c r="K60" i="14" s="1"/>
  <c r="Z54" i="14"/>
  <c r="Z55" i="14" s="1"/>
  <c r="Z58" i="14" s="1"/>
  <c r="Z59" i="14" s="1"/>
  <c r="Z60" i="14" s="1"/>
  <c r="S53" i="14"/>
  <c r="S54" i="14" s="1"/>
  <c r="S55" i="14" s="1"/>
  <c r="S58" i="14" s="1"/>
  <c r="S59" i="14" s="1"/>
  <c r="S60" i="14" s="1"/>
  <c r="H43" i="13"/>
  <c r="X53" i="14"/>
  <c r="X54" i="14" s="1"/>
  <c r="X55" i="14" s="1"/>
  <c r="X58" i="14" s="1"/>
  <c r="X59" i="14" s="1"/>
  <c r="X60" i="14" s="1"/>
  <c r="N54" i="14"/>
  <c r="N55" i="14" s="1"/>
  <c r="N58" i="14" s="1"/>
  <c r="N59" i="14" s="1"/>
  <c r="N60" i="14" s="1"/>
  <c r="N43" i="13"/>
  <c r="L53" i="14"/>
  <c r="L54" i="14" s="1"/>
  <c r="L55" i="14" s="1"/>
  <c r="L58" i="14" s="1"/>
  <c r="L59" i="14" s="1"/>
  <c r="L60" i="14" s="1"/>
  <c r="Q43" i="13"/>
  <c r="AA54" i="14"/>
  <c r="AA55" i="14" s="1"/>
  <c r="AA58" i="14" s="1"/>
  <c r="AA59" i="14" s="1"/>
  <c r="AA60" i="14" s="1"/>
  <c r="Y54" i="14"/>
  <c r="Y55" i="14" s="1"/>
  <c r="Y58" i="14" s="1"/>
  <c r="Y59" i="14" s="1"/>
  <c r="Y60" i="14" s="1"/>
  <c r="T53" i="14"/>
  <c r="T54" i="14" s="1"/>
  <c r="T55" i="14" s="1"/>
  <c r="T58" i="14" s="1"/>
  <c r="T59" i="14" s="1"/>
  <c r="T60" i="14" s="1"/>
  <c r="Z73" i="14" l="1"/>
  <c r="Z74" i="14" s="1"/>
  <c r="Q73" i="14"/>
  <c r="Q74" i="14" s="1"/>
  <c r="Q75" i="14"/>
  <c r="Q76" i="14" s="1"/>
  <c r="Q77" i="14" s="1"/>
  <c r="V73" i="14"/>
  <c r="V74" i="14" s="1"/>
  <c r="V75" i="14"/>
  <c r="V76" i="14" s="1"/>
  <c r="V77" i="14" s="1"/>
  <c r="I73" i="14"/>
  <c r="I74" i="14" s="1"/>
  <c r="I75" i="14"/>
  <c r="I76" i="14" s="1"/>
  <c r="I77" i="14" s="1"/>
  <c r="M73" i="14"/>
  <c r="M74" i="14" s="1"/>
  <c r="M75" i="14"/>
  <c r="M76" i="14" s="1"/>
  <c r="M77" i="14" s="1"/>
  <c r="R73" i="14"/>
  <c r="R74" i="14" s="1"/>
  <c r="R75" i="14"/>
  <c r="R76" i="14" s="1"/>
  <c r="R77" i="14" s="1"/>
  <c r="T73" i="14"/>
  <c r="T74" i="14" s="1"/>
  <c r="T75" i="14"/>
  <c r="T76" i="14" s="1"/>
  <c r="T77" i="14" s="1"/>
  <c r="AD73" i="14"/>
  <c r="AD74" i="14" s="1"/>
  <c r="AD75" i="14"/>
  <c r="AD76" i="14" s="1"/>
  <c r="AD77" i="14" s="1"/>
  <c r="AC73" i="14"/>
  <c r="AC74" i="14" s="1"/>
  <c r="AC75" i="14"/>
  <c r="AC76" i="14" s="1"/>
  <c r="AC77" i="14" s="1"/>
  <c r="K73" i="14"/>
  <c r="K74" i="14" s="1"/>
  <c r="K75" i="14"/>
  <c r="K76" i="14" s="1"/>
  <c r="K77" i="14" s="1"/>
  <c r="AA45" i="14"/>
  <c r="Y73" i="14"/>
  <c r="Y74" i="14" s="1"/>
  <c r="Y75" i="14"/>
  <c r="Y76" i="14" s="1"/>
  <c r="Y77" i="14" s="1"/>
  <c r="P73" i="14"/>
  <c r="P74" i="14" s="1"/>
  <c r="P75" i="14"/>
  <c r="P76" i="14" s="1"/>
  <c r="P77" i="14" s="1"/>
  <c r="L73" i="14"/>
  <c r="L74" i="14" s="1"/>
  <c r="L75" i="14"/>
  <c r="L76" i="14" s="1"/>
  <c r="L77" i="14" s="1"/>
  <c r="AB73" i="14"/>
  <c r="AB74" i="14" s="1"/>
  <c r="AB75" i="14"/>
  <c r="AB76" i="14" s="1"/>
  <c r="AB77" i="14" s="1"/>
  <c r="AA73" i="14"/>
  <c r="AA74" i="14" s="1"/>
  <c r="AA75" i="14"/>
  <c r="AA76" i="14" s="1"/>
  <c r="AA77" i="14" s="1"/>
  <c r="X73" i="14"/>
  <c r="X74" i="14" s="1"/>
  <c r="X75" i="14"/>
  <c r="X76" i="14" s="1"/>
  <c r="X77" i="14" s="1"/>
  <c r="S73" i="14"/>
  <c r="S74" i="14" s="1"/>
  <c r="S75" i="14"/>
  <c r="S76" i="14" s="1"/>
  <c r="S77" i="14" s="1"/>
  <c r="J73" i="14"/>
  <c r="J74" i="14" s="1"/>
  <c r="J81" i="14" s="1"/>
  <c r="J75" i="14"/>
  <c r="J76" i="14" s="1"/>
  <c r="J77" i="14" s="1"/>
  <c r="N73" i="14"/>
  <c r="N74" i="14" s="1"/>
  <c r="N75" i="14"/>
  <c r="N76" i="14" s="1"/>
  <c r="N77" i="14" s="1"/>
  <c r="U73" i="14"/>
  <c r="U74" i="14" s="1"/>
  <c r="U75" i="14"/>
  <c r="U76" i="14" s="1"/>
  <c r="U77" i="14" s="1"/>
  <c r="W73" i="14"/>
  <c r="W74" i="14" s="1"/>
  <c r="W75" i="14"/>
  <c r="W76" i="14" s="1"/>
  <c r="W77" i="14" s="1"/>
  <c r="O73" i="14"/>
  <c r="O74" i="14" s="1"/>
  <c r="O75" i="14"/>
  <c r="O76" i="14" s="1"/>
  <c r="O77" i="14" s="1"/>
  <c r="H63" i="14"/>
  <c r="T45" i="14"/>
  <c r="H62" i="14"/>
  <c r="O45" i="14"/>
  <c r="L45" i="14"/>
  <c r="AB45" i="14"/>
  <c r="J45" i="14"/>
  <c r="R45" i="14"/>
  <c r="H70" i="14"/>
  <c r="H71" i="14" s="1"/>
  <c r="H72" i="14" s="1"/>
  <c r="AC56" i="14"/>
  <c r="AC57" i="14" s="1"/>
  <c r="AC62" i="14" s="1"/>
  <c r="S56" i="14"/>
  <c r="S57" i="14" s="1"/>
  <c r="K56" i="14"/>
  <c r="O56" i="14"/>
  <c r="P56" i="14"/>
  <c r="P57" i="14" s="1"/>
  <c r="P62" i="14" s="1"/>
  <c r="T56" i="14"/>
  <c r="T57" i="14" s="1"/>
  <c r="J56" i="14"/>
  <c r="J57" i="14" s="1"/>
  <c r="N56" i="14"/>
  <c r="N57" i="14" s="1"/>
  <c r="M56" i="14"/>
  <c r="M57" i="14" s="1"/>
  <c r="Q56" i="14"/>
  <c r="Q57" i="14" s="1"/>
  <c r="Q62" i="14" s="1"/>
  <c r="AB56" i="14"/>
  <c r="Y56" i="14"/>
  <c r="Y57" i="14" s="1"/>
  <c r="I56" i="14"/>
  <c r="I57" i="14" s="1"/>
  <c r="I62" i="14" s="1"/>
  <c r="AA56" i="14"/>
  <c r="AA57" i="14" s="1"/>
  <c r="R56" i="14"/>
  <c r="X56" i="14"/>
  <c r="X57" i="14" s="1"/>
  <c r="Z56" i="14"/>
  <c r="Z57" i="14" s="1"/>
  <c r="U56" i="14"/>
  <c r="U57" i="14" s="1"/>
  <c r="U62" i="14" s="1"/>
  <c r="V56" i="14"/>
  <c r="L56" i="14"/>
  <c r="L57" i="14" s="1"/>
  <c r="W56" i="14"/>
  <c r="W57" i="14" s="1"/>
  <c r="AD56" i="14"/>
  <c r="U45" i="14"/>
  <c r="Q44" i="14"/>
  <c r="AA44" i="14"/>
  <c r="P45" i="14"/>
  <c r="S45" i="14"/>
  <c r="R44" i="14"/>
  <c r="U44" i="14"/>
  <c r="Y44" i="14"/>
  <c r="J44" i="14"/>
  <c r="X44" i="14"/>
  <c r="V44" i="14"/>
  <c r="W44" i="14"/>
  <c r="AD44" i="14"/>
  <c r="AD45" i="14"/>
  <c r="N44" i="14"/>
  <c r="M44" i="14"/>
  <c r="AB44" i="14"/>
  <c r="Z45" i="14"/>
  <c r="I44" i="14"/>
  <c r="Z44" i="14"/>
  <c r="I45" i="14"/>
  <c r="L44" i="14"/>
  <c r="AC45" i="14"/>
  <c r="AC44" i="14"/>
  <c r="T44" i="14"/>
  <c r="S44" i="14"/>
  <c r="K44" i="14"/>
  <c r="O44" i="14"/>
  <c r="P44" i="14"/>
  <c r="J63" i="14"/>
  <c r="Y35" i="14"/>
  <c r="Y90" i="14" s="1"/>
  <c r="Y91" i="14" s="1"/>
  <c r="Y92" i="14" s="1"/>
  <c r="Y119" i="14"/>
  <c r="Y36" i="14"/>
  <c r="Y110" i="14" s="1"/>
  <c r="H35" i="14"/>
  <c r="H90" i="14" s="1"/>
  <c r="H91" i="14" s="1"/>
  <c r="H92" i="14" s="1"/>
  <c r="H119" i="14"/>
  <c r="O35" i="14"/>
  <c r="O90" i="14" s="1"/>
  <c r="O91" i="14" s="1"/>
  <c r="O92" i="14" s="1"/>
  <c r="O36" i="14"/>
  <c r="O110" i="14" s="1"/>
  <c r="O119" i="14"/>
  <c r="U119" i="14"/>
  <c r="U35" i="14"/>
  <c r="U90" i="14" s="1"/>
  <c r="U91" i="14" s="1"/>
  <c r="U92" i="14" s="1"/>
  <c r="U36" i="14"/>
  <c r="U110" i="14" s="1"/>
  <c r="AD36" i="14"/>
  <c r="AD110" i="14" s="1"/>
  <c r="AD35" i="14"/>
  <c r="AD90" i="14" s="1"/>
  <c r="AD91" i="14" s="1"/>
  <c r="AD92" i="14" s="1"/>
  <c r="K36" i="14"/>
  <c r="K110" i="14" s="1"/>
  <c r="K119" i="14"/>
  <c r="K35" i="14"/>
  <c r="K90" i="14" s="1"/>
  <c r="K91" i="14" s="1"/>
  <c r="K92" i="14" s="1"/>
  <c r="X35" i="14"/>
  <c r="X90" i="14" s="1"/>
  <c r="X91" i="14" s="1"/>
  <c r="X92" i="14" s="1"/>
  <c r="X36" i="14"/>
  <c r="X110" i="14" s="1"/>
  <c r="X119" i="14"/>
  <c r="AB35" i="14"/>
  <c r="AB90" i="14" s="1"/>
  <c r="AB91" i="14" s="1"/>
  <c r="AB92" i="14" s="1"/>
  <c r="AB119" i="14"/>
  <c r="AB36" i="14"/>
  <c r="AB110" i="14" s="1"/>
  <c r="Z35" i="14"/>
  <c r="Z90" i="14" s="1"/>
  <c r="Z91" i="14" s="1"/>
  <c r="Z92" i="14" s="1"/>
  <c r="Z36" i="14"/>
  <c r="Z110" i="14" s="1"/>
  <c r="Z119" i="14"/>
  <c r="W35" i="14"/>
  <c r="W90" i="14" s="1"/>
  <c r="W91" i="14" s="1"/>
  <c r="W92" i="14" s="1"/>
  <c r="W36" i="14"/>
  <c r="W119" i="14"/>
  <c r="AC119" i="14"/>
  <c r="AC35" i="14"/>
  <c r="AC90" i="14" s="1"/>
  <c r="AC91" i="14" s="1"/>
  <c r="AC92" i="14" s="1"/>
  <c r="AC36" i="14"/>
  <c r="AC110" i="14" s="1"/>
  <c r="T36" i="14"/>
  <c r="T35" i="14"/>
  <c r="T90" i="14" s="1"/>
  <c r="T91" i="14" s="1"/>
  <c r="T92" i="14" s="1"/>
  <c r="T119" i="14"/>
  <c r="I36" i="14"/>
  <c r="I110" i="14" s="1"/>
  <c r="I119" i="14"/>
  <c r="I35" i="14"/>
  <c r="I90" i="14" s="1"/>
  <c r="I91" i="14" s="1"/>
  <c r="I92" i="14" s="1"/>
  <c r="Q36" i="14"/>
  <c r="Q110" i="14" s="1"/>
  <c r="Q35" i="14"/>
  <c r="Q90" i="14" s="1"/>
  <c r="Q91" i="14" s="1"/>
  <c r="Q92" i="14" s="1"/>
  <c r="Q119" i="14"/>
  <c r="V36" i="14"/>
  <c r="V119" i="14"/>
  <c r="V35" i="14"/>
  <c r="V90" i="14" s="1"/>
  <c r="V91" i="14" s="1"/>
  <c r="V92" i="14" s="1"/>
  <c r="R36" i="14"/>
  <c r="R110" i="14" s="1"/>
  <c r="R35" i="14"/>
  <c r="R90" i="14" s="1"/>
  <c r="R91" i="14" s="1"/>
  <c r="R92" i="14" s="1"/>
  <c r="R119" i="14"/>
  <c r="J35" i="14"/>
  <c r="J90" i="14" s="1"/>
  <c r="J91" i="14" s="1"/>
  <c r="J92" i="14" s="1"/>
  <c r="J36" i="14"/>
  <c r="J110" i="14" s="1"/>
  <c r="J119" i="14"/>
  <c r="AA36" i="14"/>
  <c r="AA110" i="14" s="1"/>
  <c r="AA119" i="14"/>
  <c r="AA35" i="14"/>
  <c r="AA90" i="14" s="1"/>
  <c r="AA91" i="14" s="1"/>
  <c r="AA92" i="14" s="1"/>
  <c r="L36" i="14"/>
  <c r="L110" i="14" s="1"/>
  <c r="L35" i="14"/>
  <c r="L90" i="14" s="1"/>
  <c r="L91" i="14" s="1"/>
  <c r="L92" i="14" s="1"/>
  <c r="L119" i="14"/>
  <c r="M119" i="14"/>
  <c r="M35" i="14"/>
  <c r="M90" i="14" s="1"/>
  <c r="M91" i="14" s="1"/>
  <c r="M92" i="14" s="1"/>
  <c r="M36" i="14"/>
  <c r="M110" i="14" s="1"/>
  <c r="P36" i="14"/>
  <c r="P119" i="14"/>
  <c r="P35" i="14"/>
  <c r="P90" i="14" s="1"/>
  <c r="P91" i="14" s="1"/>
  <c r="P92" i="14" s="1"/>
  <c r="S35" i="14"/>
  <c r="S90" i="14" s="1"/>
  <c r="S91" i="14" s="1"/>
  <c r="S92" i="14" s="1"/>
  <c r="S36" i="14"/>
  <c r="S110" i="14" s="1"/>
  <c r="S119" i="14"/>
  <c r="N36" i="14"/>
  <c r="N110" i="14" s="1"/>
  <c r="N119" i="14"/>
  <c r="N35" i="14"/>
  <c r="N90" i="14" s="1"/>
  <c r="N91" i="14" s="1"/>
  <c r="N92" i="14" s="1"/>
  <c r="AD93" i="14" l="1"/>
  <c r="AD94" i="14" s="1"/>
  <c r="AD95" i="14"/>
  <c r="AD96" i="14" s="1"/>
  <c r="AD97" i="14" s="1"/>
  <c r="AD103" i="14" s="1"/>
  <c r="S93" i="14"/>
  <c r="S94" i="14" s="1"/>
  <c r="S95" i="14"/>
  <c r="S96" i="14" s="1"/>
  <c r="S97" i="14" s="1"/>
  <c r="S103" i="14" s="1"/>
  <c r="Y95" i="14"/>
  <c r="Y96" i="14" s="1"/>
  <c r="Y97" i="14" s="1"/>
  <c r="Y103" i="14" s="1"/>
  <c r="Y93" i="14"/>
  <c r="Y94" i="14" s="1"/>
  <c r="P95" i="14"/>
  <c r="P96" i="14" s="1"/>
  <c r="P97" i="14" s="1"/>
  <c r="P103" i="14" s="1"/>
  <c r="P93" i="14"/>
  <c r="P94" i="14" s="1"/>
  <c r="Z95" i="14"/>
  <c r="Z96" i="14" s="1"/>
  <c r="Z97" i="14" s="1"/>
  <c r="Z103" i="14" s="1"/>
  <c r="Z93" i="14"/>
  <c r="Z94" i="14" s="1"/>
  <c r="W93" i="14"/>
  <c r="W94" i="14" s="1"/>
  <c r="W95" i="14"/>
  <c r="W96" i="14" s="1"/>
  <c r="W97" i="14" s="1"/>
  <c r="W103" i="14" s="1"/>
  <c r="J95" i="14"/>
  <c r="J96" i="14" s="1"/>
  <c r="J97" i="14" s="1"/>
  <c r="J103" i="14" s="1"/>
  <c r="J93" i="14"/>
  <c r="J94" i="14" s="1"/>
  <c r="U95" i="14"/>
  <c r="U96" i="14" s="1"/>
  <c r="U97" i="14" s="1"/>
  <c r="U103" i="14" s="1"/>
  <c r="U93" i="14"/>
  <c r="U94" i="14" s="1"/>
  <c r="I93" i="14"/>
  <c r="I94" i="14" s="1"/>
  <c r="I95" i="14"/>
  <c r="I96" i="14" s="1"/>
  <c r="I97" i="14" s="1"/>
  <c r="I103" i="14" s="1"/>
  <c r="M93" i="14"/>
  <c r="M94" i="14" s="1"/>
  <c r="M95" i="14"/>
  <c r="M96" i="14" s="1"/>
  <c r="M97" i="14" s="1"/>
  <c r="M103" i="14" s="1"/>
  <c r="R93" i="14"/>
  <c r="R94" i="14" s="1"/>
  <c r="R95" i="14"/>
  <c r="R96" i="14" s="1"/>
  <c r="R97" i="14" s="1"/>
  <c r="R103" i="14" s="1"/>
  <c r="T95" i="14"/>
  <c r="T96" i="14" s="1"/>
  <c r="T97" i="14" s="1"/>
  <c r="T103" i="14" s="1"/>
  <c r="T93" i="14"/>
  <c r="T94" i="14" s="1"/>
  <c r="AB93" i="14"/>
  <c r="AB94" i="14" s="1"/>
  <c r="AB95" i="14"/>
  <c r="AB96" i="14" s="1"/>
  <c r="AB97" i="14" s="1"/>
  <c r="AB103" i="14" s="1"/>
  <c r="V95" i="14"/>
  <c r="V96" i="14" s="1"/>
  <c r="V97" i="14" s="1"/>
  <c r="V103" i="14" s="1"/>
  <c r="V93" i="14"/>
  <c r="V94" i="14" s="1"/>
  <c r="AC95" i="14"/>
  <c r="AC96" i="14" s="1"/>
  <c r="AC97" i="14" s="1"/>
  <c r="AC103" i="14" s="1"/>
  <c r="AC93" i="14"/>
  <c r="AC94" i="14" s="1"/>
  <c r="O93" i="14"/>
  <c r="O94" i="14" s="1"/>
  <c r="O95" i="14"/>
  <c r="O96" i="14" s="1"/>
  <c r="O97" i="14" s="1"/>
  <c r="O103" i="14" s="1"/>
  <c r="X95" i="14"/>
  <c r="X96" i="14" s="1"/>
  <c r="X97" i="14" s="1"/>
  <c r="X103" i="14" s="1"/>
  <c r="X93" i="14"/>
  <c r="X94" i="14" s="1"/>
  <c r="N93" i="14"/>
  <c r="N94" i="14" s="1"/>
  <c r="N95" i="14"/>
  <c r="N96" i="14" s="1"/>
  <c r="N97" i="14" s="1"/>
  <c r="N103" i="14" s="1"/>
  <c r="K95" i="14"/>
  <c r="K96" i="14" s="1"/>
  <c r="K97" i="14" s="1"/>
  <c r="K103" i="14" s="1"/>
  <c r="K93" i="14"/>
  <c r="K94" i="14" s="1"/>
  <c r="L93" i="14"/>
  <c r="L94" i="14" s="1"/>
  <c r="L95" i="14"/>
  <c r="L96" i="14" s="1"/>
  <c r="L97" i="14" s="1"/>
  <c r="L103" i="14" s="1"/>
  <c r="AA93" i="14"/>
  <c r="AA94" i="14" s="1"/>
  <c r="AA95" i="14"/>
  <c r="AA96" i="14" s="1"/>
  <c r="AA97" i="14" s="1"/>
  <c r="AA103" i="14" s="1"/>
  <c r="Q95" i="14"/>
  <c r="Q96" i="14" s="1"/>
  <c r="Q97" i="14" s="1"/>
  <c r="Q103" i="14" s="1"/>
  <c r="Q93" i="14"/>
  <c r="Q94" i="14" s="1"/>
  <c r="AA47" i="14"/>
  <c r="AA79" i="14" s="1"/>
  <c r="AA83" i="14" s="1"/>
  <c r="H93" i="14"/>
  <c r="H95" i="14"/>
  <c r="H96" i="14" s="1"/>
  <c r="H97" i="14" s="1"/>
  <c r="T110" i="14"/>
  <c r="T116" i="14" s="1"/>
  <c r="V110" i="14"/>
  <c r="V116" i="14" s="1"/>
  <c r="H73" i="14"/>
  <c r="H74" i="14" s="1"/>
  <c r="H75" i="14"/>
  <c r="H76" i="14" s="1"/>
  <c r="H77" i="14" s="1"/>
  <c r="P110" i="14"/>
  <c r="P116" i="14" s="1"/>
  <c r="W110" i="14"/>
  <c r="W116" i="14" s="1"/>
  <c r="T47" i="14"/>
  <c r="T79" i="14" s="1"/>
  <c r="H64" i="14"/>
  <c r="L47" i="14"/>
  <c r="O47" i="14"/>
  <c r="O79" i="14" s="1"/>
  <c r="O83" i="14" s="1"/>
  <c r="X45" i="14"/>
  <c r="X47" i="14" s="1"/>
  <c r="Q45" i="14"/>
  <c r="Q47" i="14" s="1"/>
  <c r="Q79" i="14" s="1"/>
  <c r="N81" i="14"/>
  <c r="Q81" i="14"/>
  <c r="Y45" i="14"/>
  <c r="Y47" i="14" s="1"/>
  <c r="K45" i="14"/>
  <c r="K47" i="14" s="1"/>
  <c r="V81" i="14"/>
  <c r="Y81" i="14"/>
  <c r="J47" i="14"/>
  <c r="W81" i="14"/>
  <c r="M81" i="14"/>
  <c r="K81" i="14"/>
  <c r="W45" i="14"/>
  <c r="W47" i="14" s="1"/>
  <c r="AB47" i="14"/>
  <c r="R47" i="14"/>
  <c r="N45" i="14"/>
  <c r="N47" i="14" s="1"/>
  <c r="M45" i="14"/>
  <c r="M47" i="14" s="1"/>
  <c r="V45" i="14"/>
  <c r="V47" i="14" s="1"/>
  <c r="P47" i="14"/>
  <c r="AB81" i="14"/>
  <c r="U47" i="14"/>
  <c r="U79" i="14" s="1"/>
  <c r="AC47" i="14"/>
  <c r="I47" i="14"/>
  <c r="AD47" i="14"/>
  <c r="O57" i="14"/>
  <c r="O62" i="14" s="1"/>
  <c r="V57" i="14"/>
  <c r="V62" i="14" s="1"/>
  <c r="AB57" i="14"/>
  <c r="AB62" i="14" s="1"/>
  <c r="K57" i="14"/>
  <c r="K62" i="14" s="1"/>
  <c r="AD57" i="14"/>
  <c r="AD62" i="14" s="1"/>
  <c r="S47" i="14"/>
  <c r="Z47" i="14"/>
  <c r="R57" i="14"/>
  <c r="R62" i="14" s="1"/>
  <c r="H45" i="14"/>
  <c r="W63" i="14"/>
  <c r="U63" i="14"/>
  <c r="M82" i="14"/>
  <c r="AB82" i="14"/>
  <c r="W82" i="14"/>
  <c r="R81" i="14"/>
  <c r="L81" i="14"/>
  <c r="AA81" i="14"/>
  <c r="T81" i="14"/>
  <c r="J62" i="14"/>
  <c r="Q48" i="13"/>
  <c r="I63" i="14"/>
  <c r="AA116" i="14"/>
  <c r="H116" i="14"/>
  <c r="N116" i="14"/>
  <c r="M116" i="14"/>
  <c r="Z116" i="14"/>
  <c r="R116" i="14"/>
  <c r="I116" i="14"/>
  <c r="AC116" i="14"/>
  <c r="S116" i="14"/>
  <c r="Q116" i="14"/>
  <c r="K116" i="14"/>
  <c r="U116" i="14"/>
  <c r="X116" i="14"/>
  <c r="J116" i="14"/>
  <c r="Y116" i="14"/>
  <c r="AB116" i="14"/>
  <c r="L116" i="14"/>
  <c r="AD116" i="14"/>
  <c r="O116" i="14"/>
  <c r="W62" i="14"/>
  <c r="M62" i="14"/>
  <c r="O81" i="14"/>
  <c r="Z62" i="14"/>
  <c r="X81" i="14"/>
  <c r="K63" i="14"/>
  <c r="AD63" i="14"/>
  <c r="AD81" i="14"/>
  <c r="AB63" i="14"/>
  <c r="O82" i="14"/>
  <c r="S62" i="14"/>
  <c r="Y62" i="14"/>
  <c r="Z63" i="14"/>
  <c r="U81" i="14"/>
  <c r="K82" i="14"/>
  <c r="X62" i="14"/>
  <c r="N62" i="14"/>
  <c r="AC81" i="14"/>
  <c r="S81" i="14"/>
  <c r="I81" i="14"/>
  <c r="M63" i="14"/>
  <c r="Z81" i="14"/>
  <c r="O63" i="14"/>
  <c r="AA62" i="14"/>
  <c r="T62" i="14"/>
  <c r="X82" i="14"/>
  <c r="P81" i="14"/>
  <c r="L62" i="14"/>
  <c r="H47" i="14" l="1"/>
  <c r="H79" i="14" s="1"/>
  <c r="H83" i="14" s="1"/>
  <c r="H98" i="14"/>
  <c r="H99" i="14" s="1"/>
  <c r="H100" i="14" s="1"/>
  <c r="H94" i="14"/>
  <c r="H44" i="13"/>
  <c r="M98" i="14"/>
  <c r="M99" i="14" s="1"/>
  <c r="M100" i="14" s="1"/>
  <c r="M104" i="14" s="1"/>
  <c r="H81" i="14"/>
  <c r="K44" i="13" s="1"/>
  <c r="T98" i="14"/>
  <c r="T102" i="14"/>
  <c r="N98" i="14"/>
  <c r="N102" i="14"/>
  <c r="W98" i="14"/>
  <c r="W102" i="14"/>
  <c r="X102" i="14"/>
  <c r="X98" i="14"/>
  <c r="Z98" i="14"/>
  <c r="Z102" i="14"/>
  <c r="R102" i="14"/>
  <c r="R98" i="14"/>
  <c r="Q98" i="14"/>
  <c r="Q102" i="14"/>
  <c r="P102" i="14"/>
  <c r="P98" i="14"/>
  <c r="O98" i="14"/>
  <c r="O102" i="14"/>
  <c r="M102" i="14"/>
  <c r="Y102" i="14"/>
  <c r="Y98" i="14"/>
  <c r="AA98" i="14"/>
  <c r="AA102" i="14"/>
  <c r="V102" i="14"/>
  <c r="V98" i="14"/>
  <c r="L98" i="14"/>
  <c r="L102" i="14"/>
  <c r="S98" i="14"/>
  <c r="S102" i="14"/>
  <c r="AC98" i="14"/>
  <c r="AC102" i="14"/>
  <c r="U98" i="14"/>
  <c r="U102" i="14"/>
  <c r="K98" i="14"/>
  <c r="K102" i="14"/>
  <c r="J98" i="14"/>
  <c r="J102" i="14"/>
  <c r="I102" i="14"/>
  <c r="I98" i="14"/>
  <c r="AB102" i="14"/>
  <c r="AB98" i="14"/>
  <c r="AD102" i="14"/>
  <c r="AD98" i="14"/>
  <c r="T112" i="14"/>
  <c r="T118" i="14" s="1"/>
  <c r="T120" i="14" s="1"/>
  <c r="T40" i="13" s="1"/>
  <c r="X79" i="14"/>
  <c r="X83" i="14" s="1"/>
  <c r="X84" i="14" s="1"/>
  <c r="X38" i="13" s="1"/>
  <c r="Y79" i="14"/>
  <c r="Y83" i="14" s="1"/>
  <c r="P112" i="14"/>
  <c r="P118" i="14" s="1"/>
  <c r="P120" i="14" s="1"/>
  <c r="P40" i="13" s="1"/>
  <c r="P79" i="14"/>
  <c r="P83" i="14" s="1"/>
  <c r="AD79" i="14"/>
  <c r="AD83" i="14" s="1"/>
  <c r="N79" i="14"/>
  <c r="N83" i="14" s="1"/>
  <c r="I79" i="14"/>
  <c r="I83" i="14" s="1"/>
  <c r="R112" i="14"/>
  <c r="R118" i="14" s="1"/>
  <c r="R120" i="14" s="1"/>
  <c r="R40" i="13" s="1"/>
  <c r="R79" i="14"/>
  <c r="R83" i="14" s="1"/>
  <c r="V79" i="14"/>
  <c r="V83" i="14" s="1"/>
  <c r="M79" i="14"/>
  <c r="M83" i="14" s="1"/>
  <c r="M84" i="14" s="1"/>
  <c r="M38" i="13" s="1"/>
  <c r="Z79" i="14"/>
  <c r="Z83" i="14" s="1"/>
  <c r="S79" i="14"/>
  <c r="S83" i="14" s="1"/>
  <c r="AC112" i="14"/>
  <c r="AC118" i="14" s="1"/>
  <c r="AC120" i="14" s="1"/>
  <c r="AC40" i="13" s="1"/>
  <c r="AC79" i="14"/>
  <c r="AC83" i="14" s="1"/>
  <c r="AB79" i="14"/>
  <c r="AB83" i="14" s="1"/>
  <c r="AB84" i="14" s="1"/>
  <c r="AB38" i="13" s="1"/>
  <c r="L79" i="14"/>
  <c r="L83" i="14" s="1"/>
  <c r="J79" i="14"/>
  <c r="J83" i="14" s="1"/>
  <c r="W79" i="14"/>
  <c r="W83" i="14" s="1"/>
  <c r="W84" i="14" s="1"/>
  <c r="W38" i="13" s="1"/>
  <c r="K79" i="14"/>
  <c r="K83" i="14" s="1"/>
  <c r="K84" i="14" s="1"/>
  <c r="K38" i="13" s="1"/>
  <c r="H82" i="14"/>
  <c r="U64" i="14"/>
  <c r="U37" i="13" s="1"/>
  <c r="V82" i="14"/>
  <c r="AA82" i="14"/>
  <c r="T82" i="14"/>
  <c r="Y82" i="14"/>
  <c r="R82" i="14"/>
  <c r="L82" i="14"/>
  <c r="U112" i="14"/>
  <c r="U118" i="14" s="1"/>
  <c r="U120" i="14" s="1"/>
  <c r="U40" i="13" s="1"/>
  <c r="U83" i="14"/>
  <c r="J64" i="14"/>
  <c r="J37" i="13" s="1"/>
  <c r="K112" i="14"/>
  <c r="K118" i="14" s="1"/>
  <c r="K120" i="14" s="1"/>
  <c r="K40" i="13" s="1"/>
  <c r="Q83" i="14"/>
  <c r="V63" i="14"/>
  <c r="V64" i="14" s="1"/>
  <c r="V37" i="13" s="1"/>
  <c r="R63" i="14"/>
  <c r="Q45" i="13"/>
  <c r="J112" i="14"/>
  <c r="J118" i="14" s="1"/>
  <c r="J120" i="14" s="1"/>
  <c r="J40" i="13" s="1"/>
  <c r="Q46" i="13"/>
  <c r="I64" i="14"/>
  <c r="I37" i="13" s="1"/>
  <c r="M112" i="14"/>
  <c r="M118" i="14" s="1"/>
  <c r="AD112" i="14"/>
  <c r="AD118" i="14" s="1"/>
  <c r="AD120" i="14" s="1"/>
  <c r="AD40" i="13" s="1"/>
  <c r="Z112" i="14"/>
  <c r="Z118" i="14" s="1"/>
  <c r="Z120" i="14" s="1"/>
  <c r="Z40" i="13" s="1"/>
  <c r="W64" i="14"/>
  <c r="W37" i="13" s="1"/>
  <c r="AC63" i="14"/>
  <c r="V112" i="14"/>
  <c r="V118" i="14" s="1"/>
  <c r="V120" i="14" s="1"/>
  <c r="V40" i="13" s="1"/>
  <c r="M64" i="14"/>
  <c r="M37" i="13" s="1"/>
  <c r="P63" i="14"/>
  <c r="N112" i="14"/>
  <c r="N118" i="14" s="1"/>
  <c r="N120" i="14" s="1"/>
  <c r="N40" i="13" s="1"/>
  <c r="Y112" i="14"/>
  <c r="Y118" i="14" s="1"/>
  <c r="Y120" i="14" s="1"/>
  <c r="Y40" i="13" s="1"/>
  <c r="W112" i="14"/>
  <c r="W118" i="14" s="1"/>
  <c r="W120" i="14" s="1"/>
  <c r="W40" i="13" s="1"/>
  <c r="AA112" i="14"/>
  <c r="AA118" i="14" s="1"/>
  <c r="AA120" i="14" s="1"/>
  <c r="AA40" i="13" s="1"/>
  <c r="O112" i="14"/>
  <c r="O118" i="14" s="1"/>
  <c r="O120" i="14" s="1"/>
  <c r="O40" i="13" s="1"/>
  <c r="Q63" i="14"/>
  <c r="N82" i="14"/>
  <c r="J82" i="14"/>
  <c r="O84" i="14"/>
  <c r="O38" i="13" s="1"/>
  <c r="Z64" i="14"/>
  <c r="Z37" i="13" s="1"/>
  <c r="Q82" i="14"/>
  <c r="L112" i="14"/>
  <c r="L118" i="14" s="1"/>
  <c r="L120" i="14" s="1"/>
  <c r="L40" i="13" s="1"/>
  <c r="X112" i="14"/>
  <c r="X118" i="14" s="1"/>
  <c r="X120" i="14" s="1"/>
  <c r="X40" i="13" s="1"/>
  <c r="AB112" i="14"/>
  <c r="AB118" i="14" s="1"/>
  <c r="AB120" i="14" s="1"/>
  <c r="AB40" i="13" s="1"/>
  <c r="I112" i="14"/>
  <c r="I118" i="14" s="1"/>
  <c r="I120" i="14" s="1"/>
  <c r="I40" i="13" s="1"/>
  <c r="K64" i="14"/>
  <c r="K37" i="13" s="1"/>
  <c r="T83" i="14"/>
  <c r="S112" i="14"/>
  <c r="S118" i="14" s="1"/>
  <c r="S120" i="14" s="1"/>
  <c r="S40" i="13" s="1"/>
  <c r="O64" i="14"/>
  <c r="O37" i="13" s="1"/>
  <c r="AB64" i="14"/>
  <c r="AB37" i="13" s="1"/>
  <c r="AD64" i="14"/>
  <c r="AD37" i="13" s="1"/>
  <c r="S82" i="14"/>
  <c r="AD82" i="14"/>
  <c r="AC82" i="14"/>
  <c r="AA63" i="14"/>
  <c r="Y63" i="14"/>
  <c r="X63" i="14"/>
  <c r="L63" i="14"/>
  <c r="U82" i="14"/>
  <c r="Z82" i="14"/>
  <c r="I82" i="14"/>
  <c r="N63" i="14"/>
  <c r="S63" i="14"/>
  <c r="P82" i="14"/>
  <c r="T63" i="14"/>
  <c r="H112" i="14" l="1"/>
  <c r="H118" i="14" s="1"/>
  <c r="H120" i="14" s="1"/>
  <c r="H40" i="13" s="1"/>
  <c r="K45" i="13"/>
  <c r="H84" i="14"/>
  <c r="H38" i="13" s="1"/>
  <c r="R99" i="14"/>
  <c r="R100" i="14" s="1"/>
  <c r="R104" i="14" s="1"/>
  <c r="K99" i="14"/>
  <c r="K100" i="14" s="1"/>
  <c r="K104" i="14" s="1"/>
  <c r="AA99" i="14"/>
  <c r="AA100" i="14" s="1"/>
  <c r="AA104" i="14" s="1"/>
  <c r="Y99" i="14"/>
  <c r="Y100" i="14" s="1"/>
  <c r="Y104" i="14" s="1"/>
  <c r="U99" i="14"/>
  <c r="U100" i="14" s="1"/>
  <c r="U104" i="14" s="1"/>
  <c r="Z99" i="14"/>
  <c r="Z100" i="14" s="1"/>
  <c r="Z104" i="14" s="1"/>
  <c r="AD99" i="14"/>
  <c r="AD100" i="14" s="1"/>
  <c r="AD104" i="14" s="1"/>
  <c r="X99" i="14"/>
  <c r="X100" i="14" s="1"/>
  <c r="X104" i="14" s="1"/>
  <c r="AC99" i="14"/>
  <c r="AC100" i="14" s="1"/>
  <c r="AC104" i="14" s="1"/>
  <c r="S99" i="14"/>
  <c r="S100" i="14" s="1"/>
  <c r="S104" i="14" s="1"/>
  <c r="N99" i="14"/>
  <c r="N100" i="14" s="1"/>
  <c r="N104" i="14" s="1"/>
  <c r="O99" i="14"/>
  <c r="O100" i="14" s="1"/>
  <c r="O104" i="14" s="1"/>
  <c r="W99" i="14"/>
  <c r="W100" i="14" s="1"/>
  <c r="W104" i="14" s="1"/>
  <c r="I99" i="14"/>
  <c r="I100" i="14" s="1"/>
  <c r="I104" i="14" s="1"/>
  <c r="V99" i="14"/>
  <c r="V100" i="14" s="1"/>
  <c r="V104" i="14" s="1"/>
  <c r="AB99" i="14"/>
  <c r="AB100" i="14" s="1"/>
  <c r="AB104" i="14" s="1"/>
  <c r="P99" i="14"/>
  <c r="P100" i="14" s="1"/>
  <c r="P104" i="14" s="1"/>
  <c r="L99" i="14"/>
  <c r="L100" i="14" s="1"/>
  <c r="L104" i="14" s="1"/>
  <c r="J99" i="14"/>
  <c r="J100" i="14" s="1"/>
  <c r="J104" i="14" s="1"/>
  <c r="Q99" i="14"/>
  <c r="Q100" i="14" s="1"/>
  <c r="Q104" i="14" s="1"/>
  <c r="T99" i="14"/>
  <c r="T100" i="14" s="1"/>
  <c r="T104" i="14" s="1"/>
  <c r="H102" i="14"/>
  <c r="N44" i="13" s="1"/>
  <c r="V84" i="14"/>
  <c r="V38" i="13" s="1"/>
  <c r="H37" i="13"/>
  <c r="AA84" i="14"/>
  <c r="AA38" i="13" s="1"/>
  <c r="Y84" i="14"/>
  <c r="Y38" i="13" s="1"/>
  <c r="L84" i="14"/>
  <c r="L38" i="13" s="1"/>
  <c r="R64" i="14"/>
  <c r="R37" i="13" s="1"/>
  <c r="K46" i="13"/>
  <c r="Q112" i="14"/>
  <c r="Q118" i="14" s="1"/>
  <c r="Q120" i="14" s="1"/>
  <c r="Q40" i="13" s="1"/>
  <c r="R84" i="14"/>
  <c r="R38" i="13" s="1"/>
  <c r="M120" i="14"/>
  <c r="M40" i="13" s="1"/>
  <c r="Q64" i="14"/>
  <c r="Q37" i="13" s="1"/>
  <c r="AC64" i="14"/>
  <c r="AC37" i="13" s="1"/>
  <c r="P64" i="14"/>
  <c r="P37" i="13" s="1"/>
  <c r="N84" i="14"/>
  <c r="N38" i="13" s="1"/>
  <c r="J84" i="14"/>
  <c r="J38" i="13" s="1"/>
  <c r="H45" i="13"/>
  <c r="Q84" i="14"/>
  <c r="Q38" i="13" s="1"/>
  <c r="T84" i="14"/>
  <c r="T38" i="13" s="1"/>
  <c r="N64" i="14"/>
  <c r="N37" i="13" s="1"/>
  <c r="I84" i="14"/>
  <c r="I38" i="13" s="1"/>
  <c r="Y64" i="14"/>
  <c r="Y37" i="13" s="1"/>
  <c r="AD84" i="14"/>
  <c r="AD38" i="13" s="1"/>
  <c r="X64" i="14"/>
  <c r="X37" i="13" s="1"/>
  <c r="AA64" i="14"/>
  <c r="AA37" i="13" s="1"/>
  <c r="Z84" i="14"/>
  <c r="Z38" i="13" s="1"/>
  <c r="T64" i="14"/>
  <c r="T37" i="13" s="1"/>
  <c r="U84" i="14"/>
  <c r="U38" i="13" s="1"/>
  <c r="S84" i="14"/>
  <c r="S38" i="13" s="1"/>
  <c r="P84" i="14"/>
  <c r="P38" i="13" s="1"/>
  <c r="AC84" i="14"/>
  <c r="AC38" i="13" s="1"/>
  <c r="S64" i="14"/>
  <c r="S37" i="13" s="1"/>
  <c r="L64" i="14"/>
  <c r="L37" i="13" s="1"/>
  <c r="Q47" i="13" l="1"/>
  <c r="Q44" i="13" s="1"/>
  <c r="U105" i="14"/>
  <c r="U39" i="13" s="1"/>
  <c r="Y105" i="14"/>
  <c r="Y39" i="13" s="1"/>
  <c r="AD105" i="14"/>
  <c r="AD39" i="13" s="1"/>
  <c r="L105" i="14"/>
  <c r="L39" i="13" s="1"/>
  <c r="H103" i="14"/>
  <c r="H104" i="14"/>
  <c r="R105" i="14"/>
  <c r="R39" i="13" s="1"/>
  <c r="O105" i="14"/>
  <c r="O39" i="13" s="1"/>
  <c r="Z105" i="14"/>
  <c r="Z39" i="13" s="1"/>
  <c r="AA105" i="14"/>
  <c r="AA39" i="13" s="1"/>
  <c r="N105" i="14"/>
  <c r="N39" i="13" s="1"/>
  <c r="AC105" i="14"/>
  <c r="AC39" i="13" s="1"/>
  <c r="I105" i="14"/>
  <c r="I39" i="13" s="1"/>
  <c r="X105" i="14"/>
  <c r="X39" i="13" s="1"/>
  <c r="T105" i="14"/>
  <c r="T39" i="13" s="1"/>
  <c r="AB105" i="14"/>
  <c r="AB39" i="13" s="1"/>
  <c r="N45" i="13"/>
  <c r="Q49" i="13"/>
  <c r="P50" i="13" s="1"/>
  <c r="S105" i="14"/>
  <c r="S39" i="13" s="1"/>
  <c r="V105" i="14"/>
  <c r="V39" i="13" s="1"/>
  <c r="M105" i="14"/>
  <c r="M39" i="13" s="1"/>
  <c r="P105" i="14"/>
  <c r="P39" i="13" s="1"/>
  <c r="J105" i="14"/>
  <c r="J39" i="13" s="1"/>
  <c r="W105" i="14"/>
  <c r="W39" i="13" s="1"/>
  <c r="K105" i="14"/>
  <c r="K39" i="13" s="1"/>
  <c r="K47" i="13"/>
  <c r="J48" i="13" s="1"/>
  <c r="H105" i="14" l="1"/>
  <c r="H39" i="13" s="1"/>
  <c r="N46" i="13"/>
  <c r="Q105" i="14"/>
  <c r="Q39" i="13" s="1"/>
  <c r="H46" i="13"/>
  <c r="G47" i="13" s="1"/>
  <c r="N47" i="13" l="1"/>
  <c r="M48" i="1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<sst xmlns="http://schemas.openxmlformats.org/spreadsheetml/2006/main" count="598" uniqueCount="284">
  <si>
    <t>Mærsk Mc-Kinney Møller Center for Zero Carbon Shipping</t>
  </si>
  <si>
    <t>Results comparing strategies</t>
  </si>
  <si>
    <r>
      <rPr>
        <b/>
        <sz val="10"/>
        <color theme="0"/>
        <rFont val="Calibri"/>
        <family val="2"/>
        <scheme val="minor"/>
      </rPr>
      <t>Disclaimer</t>
    </r>
    <r>
      <rPr>
        <sz val="10"/>
        <color theme="0"/>
        <rFont val="Calibri"/>
        <family val="2"/>
        <scheme val="minor"/>
      </rPr>
      <t>: This calculator is meant to indicate potential costs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</si>
  <si>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r>
      <rPr>
        <b/>
        <sz val="10"/>
        <color rgb="FF000000"/>
        <rFont val="Calibri"/>
        <family val="2"/>
      </rPr>
      <t>Version updates:</t>
    </r>
    <r>
      <rPr>
        <sz val="10"/>
        <color rgb="FF000000"/>
        <rFont val="Calibri"/>
        <family val="2"/>
      </rPr>
      <t xml:space="preserve"> The Calculator has been updated with the values from the Net Zero Framework (WP11) reflecting the agreement reached in April 2025 at MEPC 83. In some cases, such as the GFI reduction factors after 2035, no values have been decided. In these cases we made an assumption as to the future values and will update these as further decsions are made.</t>
    </r>
  </si>
  <si>
    <t>MMMCZCS IMO Knowledge Hub Link</t>
  </si>
  <si>
    <r>
      <rPr>
        <b/>
        <sz val="10"/>
        <color rgb="FF000000"/>
        <rFont val="Calibri"/>
        <family val="2"/>
      </rPr>
      <t>Purpose:</t>
    </r>
    <r>
      <rPr>
        <sz val="10"/>
        <color rgb="FF000000"/>
        <rFont val="Calibri"/>
        <family val="2"/>
      </rPr>
      <t xml:space="preserve"> This tool is for policymakers and the industry seeking a deeper understanding of the agreed upon Net Zero Framework and how agreed regulations translate into incentives to invest in sustainable alternatives. The tool allows users to assess the impacts of the Framework. Users can input assumptions regarding fuel costs and emissions factors, tailoring the analysis to each organization's perspectives. The definition of zero- and near-zero fuels has yet to be defined beyond GHG threshold values. Further, the rewards these fuels will receive is also undefined. Therefore, the user can use a range of assumptions on the reward value.</t>
    </r>
  </si>
  <si>
    <r>
      <rPr>
        <b/>
        <sz val="10"/>
        <color rgb="FF000000"/>
        <rFont val="Calibri"/>
        <family val="2"/>
      </rPr>
      <t xml:space="preserve">How to use the model: </t>
    </r>
    <r>
      <rPr>
        <sz val="10"/>
        <color rgb="FF000000"/>
        <rFont val="Calibri"/>
        <family val="2"/>
      </rPr>
      <t>Commercial stakeholders will have different options for how to comply with the regulations. Here we define four compliance strategies, aiming to represent different decisions that  stakeholders may make to minimize costs.The strategies are: 1) a base case using LSFO and the lowest cost between blending bio-diesel or paying the remedial unit penalty (RU), 2) LNG and the lowest cost between blending bio-methane or paying the RU, 3) LSFO and the lowest cost between ZNZ and paying the RU, and 4) using 100% ZNZ and trading the surplus compliance. The tool allows users to compare these strategies, and how they are affected by the MTMs. To evaluate the relative costs of the strategies, first set assumptions on trading and ZNZs, then set assumptions for the four compliance strategies. For many inputs, you can decide to use standard MMMCZCS assumptions or enter your own. Note that the four strategies are illustrative and not-exhaustive, furthermore, strategies can be combined by, for example, by running a dual-fuel vessel on LSFO and bio-diesel, or an LNG vessel on ZNZ e-methane.</t>
    </r>
  </si>
  <si>
    <r>
      <rPr>
        <b/>
        <sz val="10"/>
        <color rgb="FF000000"/>
        <rFont val="Calibri"/>
        <family val="2"/>
      </rPr>
      <t>Logic for trading value:</t>
    </r>
    <r>
      <rPr>
        <sz val="10"/>
        <color rgb="FF000000"/>
        <rFont val="Calibri"/>
        <family val="2"/>
      </rPr>
      <t xml:space="preserve"> The GFS includes the ability to sell surplus compliance to ships with a deficit. Here we assume that the price of the surplus compliance units will be based on the market cost of compliance, i.e., the lowest between four options a) Tier 2 remedial unit cost, b) bio-diesel blend cost, c) bio-methane blend cost, or d) ZNZ fuel cost. This method aims to mimic a market equilibrium in which the surplus unit prices are set at the the level where marginal abatement cost is equal to the marginal demand for abatement. In the case of a GFS, the demand curve is fixed at a set quantity by the GFI target. To approximate this equilibrium, the tool allows the user to decide which compliance options should be included in the calculation, based on whether there will be sufficient supply of ZNZ, bio-diesel, or bio-methane in the market to dictate the market price of surplus units. If the user chooses that biodiesel, biomethane, and ZNZs will not be available in sufficient quantities, the surplus units are priced at the Tier 2 RU.</t>
    </r>
  </si>
  <si>
    <r>
      <rPr>
        <b/>
        <sz val="10"/>
        <color theme="1"/>
        <rFont val="Calibri"/>
        <family val="2"/>
        <scheme val="minor"/>
      </rPr>
      <t>Note:</t>
    </r>
    <r>
      <rPr>
        <sz val="10"/>
        <color theme="1"/>
        <rFont val="Calibri"/>
        <family val="2"/>
        <scheme val="minor"/>
      </rPr>
      <t xml:space="preserve"> Costs are all shown in USD per equivalence to 1 tonne of LSFO, using an energy content (LCV) of LSFO to allow for comparison between fuels. Additional costs such as captial expenditure of vessels, and additional operating costs will factor into decision making but these will generally play a smaller role compared to fuel costs.</t>
    </r>
  </si>
  <si>
    <t>User input</t>
  </si>
  <si>
    <t>Policy assumptions setup</t>
  </si>
  <si>
    <t>Notes/sources</t>
  </si>
  <si>
    <t>Drop-downs</t>
  </si>
  <si>
    <t>Year for snapshot figures</t>
  </si>
  <si>
    <t>Year used for the four strategy figures that isolate costs in a single year</t>
  </si>
  <si>
    <t>CIA Reward Rate Base (90 to 60% of cost gap)</t>
  </si>
  <si>
    <t>LSFO</t>
  </si>
  <si>
    <t>CIA Reward Rate High (105% of cost gap)</t>
  </si>
  <si>
    <t>Bio-diesel</t>
  </si>
  <si>
    <t>ZNZ reward [USD/tonne CO2e]</t>
  </si>
  <si>
    <t>Example Reward High (400 to 5 USD/tCO2e)</t>
  </si>
  <si>
    <t>LNG (HP)</t>
  </si>
  <si>
    <t>Choose reward rate</t>
  </si>
  <si>
    <r>
      <t xml:space="preserve">Reward rates and mechanisms for disbursement have not been defined. Here we assume that they are allocated per tonne of CO2e below the reference value. There are four options: </t>
    </r>
    <r>
      <rPr>
        <b/>
        <sz val="9"/>
        <color theme="0"/>
        <rFont val="Calibri"/>
        <family val="2"/>
        <scheme val="minor"/>
      </rPr>
      <t>'CIA Reward Rates'</t>
    </r>
    <r>
      <rPr>
        <sz val="9"/>
        <color theme="0"/>
        <rFont val="Calibri"/>
        <family val="2"/>
        <scheme val="minor"/>
      </rPr>
      <t xml:space="preserve"> based on scenarios from the Comprehensive Impact Assessment (CIA) by DNV for MEPC 82 using the cost gap between bio-methane and e-ammoni. The 90 to 60% or 105% refer to the share of cost gap covered by the reward. Alternatively, </t>
    </r>
    <r>
      <rPr>
        <b/>
        <sz val="9"/>
        <color theme="0"/>
        <rFont val="Calibri"/>
        <family val="2"/>
        <scheme val="minor"/>
      </rPr>
      <t>'Example Reward Rates'</t>
    </r>
    <r>
      <rPr>
        <sz val="9"/>
        <color theme="0"/>
        <rFont val="Calibri"/>
        <family val="2"/>
        <scheme val="minor"/>
      </rPr>
      <t xml:space="preserve"> provide values based on internal analysis for possible rewards with a high range (starting at 400 USD/tCO2e) and low range (starting at 200 USD/tCO2e).</t>
    </r>
  </si>
  <si>
    <t>Example Reward Low (200 to 5 USD/tCO2e)</t>
  </si>
  <si>
    <t>LNG (LP)</t>
  </si>
  <si>
    <t>No Reward</t>
  </si>
  <si>
    <t>Bio-methane (HP)</t>
  </si>
  <si>
    <t>Will the following energy sources be available in sufficient quantities to be able to set the surplus unit price?</t>
  </si>
  <si>
    <t>MMM LSFO</t>
  </si>
  <si>
    <t>Bio-methane (LP)</t>
  </si>
  <si>
    <t>Will bio-diesel set surplus unit prices?</t>
  </si>
  <si>
    <t>Yes</t>
  </si>
  <si>
    <t>We assume the cost of surplus units will be determined by the cheapest of four options 1) the RU, 2) the bio-diesel blend compliance cost, 3) bio-methane blend compliance cost, 4) the ZNZ compliance cost. Select no if you think there will be insufficient quantities of these fuels to exclude them from setting the price.</t>
  </si>
  <si>
    <t>Enter fixed price</t>
  </si>
  <si>
    <t>ZNZ</t>
  </si>
  <si>
    <t>Will bio-methane set surplus unit prices?</t>
  </si>
  <si>
    <t>MMM LNG</t>
  </si>
  <si>
    <t>Will ZNZs set surplus unit prices?</t>
  </si>
  <si>
    <t>No</t>
  </si>
  <si>
    <t>Enter my own</t>
  </si>
  <si>
    <t>LR/UMAS B100 - Avg Price</t>
  </si>
  <si>
    <t>Strategy 1: LSFO + bio-diesel</t>
  </si>
  <si>
    <t>Sources</t>
  </si>
  <si>
    <t>LR/UMAS B100 - Low Price</t>
  </si>
  <si>
    <t>LSFO fuel costs [USD/tonne LSFO]</t>
  </si>
  <si>
    <t>LR/UMAS B100 - High Price</t>
  </si>
  <si>
    <t>Min ZNZ Threshold</t>
  </si>
  <si>
    <t>Use a MMMCZCS forecast or enter your own</t>
  </si>
  <si>
    <t>MMM Fuel Cost Calculator, 2024</t>
  </si>
  <si>
    <t>MMM Bio-methane Cost</t>
  </si>
  <si>
    <t>Bio-diesel fuel costs [USD/tLSFOeq]</t>
  </si>
  <si>
    <t>Otto dual fuel (LP)</t>
  </si>
  <si>
    <t>Use a bio-diesel forecast from LR &amp; UMAS or enter your own (B100 = 100% bio-diesel)</t>
  </si>
  <si>
    <t>LR &amp; UMAS, 2020</t>
  </si>
  <si>
    <t>Diesel dual fuel (HP)</t>
  </si>
  <si>
    <t>MMM ZNZ - Avg Cost</t>
  </si>
  <si>
    <t>MMM ZNZ - Low Cost</t>
  </si>
  <si>
    <t>Strategy 2: LNG + bio-methane</t>
  </si>
  <si>
    <t>MMM ZNZ - High Cost</t>
  </si>
  <si>
    <t>LNG engine type and fuel costs [USD/tLSFO-eq]</t>
  </si>
  <si>
    <t>Choose LNG engine type</t>
  </si>
  <si>
    <r>
      <t xml:space="preserve">Determines the emissions factors due to variation in TTW slip onboard the vessel. We use values from  MEPC 81/16/Add.1, Annex 10. for  two engine types: Otto cycle low pressure (LP): 1.7% and Diesel high pressure (HP): 0.15%. LP is the engine of choice for LNG carriers, while the orderbook contains more HP engines, primarily used in non-LNG carriers. Where values don't exist we use values from the FuelEU Regulation. </t>
    </r>
    <r>
      <rPr>
        <b/>
        <sz val="9"/>
        <color theme="0"/>
        <rFont val="Calibri"/>
        <family val="2"/>
        <scheme val="minor"/>
      </rPr>
      <t>Note:</t>
    </r>
    <r>
      <rPr>
        <sz val="9"/>
        <color theme="0"/>
        <rFont val="Calibri"/>
        <family val="2"/>
        <scheme val="minor"/>
      </rPr>
      <t xml:space="preserve"> these values should be seen as a rough estimate and are subject to updates to the LCA framework.</t>
    </r>
  </si>
  <si>
    <t>Tables for figures</t>
  </si>
  <si>
    <t>Use MMMCZCS forecast for fuel costs?</t>
  </si>
  <si>
    <t xml:space="preserve">Comparing MTM Compliance Strategies [USD/tLSFOeq] </t>
  </si>
  <si>
    <t>Strategy 1: LSFO + bio-diesel (base case)</t>
  </si>
  <si>
    <t>LNG: bio-methane fuel costs [USD/tLSFOeq]</t>
  </si>
  <si>
    <t>Choose between our Fuel Cost Calculator values, with increasing costs over time (due to feedstock cost constraints) or enter your own</t>
  </si>
  <si>
    <t>Strategy 3: LSFO + ZNZ</t>
  </si>
  <si>
    <t>Strategy 4: 100% ZNZ</t>
  </si>
  <si>
    <t>Strategies 3 &amp; 4: ZNZ</t>
  </si>
  <si>
    <t>Notes</t>
  </si>
  <si>
    <t>Set ZNZ marine fuel characteristics</t>
  </si>
  <si>
    <t>LSFO fuel</t>
  </si>
  <si>
    <t>LNG fuel</t>
  </si>
  <si>
    <t>ZNZ fuel</t>
  </si>
  <si>
    <t>Use minimum ZNZ Threshold</t>
  </si>
  <si>
    <t>The MEPC83/WP11 Agreement includes threshold for rewarding ZNZs of 19 gCO2e/MJ from 2028 - 2034, and 14gCO2e/MJ after</t>
  </si>
  <si>
    <t>Tier 2 (Bio or RU2)</t>
  </si>
  <si>
    <t>Tier 2 (Bio-methane or RU2)</t>
  </si>
  <si>
    <t>Tier 2 (ZNZ or RU2)</t>
  </si>
  <si>
    <t>ZNZ fuel (after rewards and surplus)</t>
  </si>
  <si>
    <t>Tier 1 (Bio or RU1)</t>
  </si>
  <si>
    <t>Tier 2 (Bio-methane or RU1)</t>
  </si>
  <si>
    <t>Tier 1 (ZNZ or RU1)</t>
  </si>
  <si>
    <t>Tier 2 RU2</t>
  </si>
  <si>
    <t>Use MMMCZCS Fuel Cost Calculator or enter your own</t>
  </si>
  <si>
    <t>Here the costs are from our Fuel Cost Calculator. Note: the costs vary over time assuming learning curves, therefore, this mimics spot prices.</t>
  </si>
  <si>
    <t>Total S1</t>
  </si>
  <si>
    <t>GFS Surplus</t>
  </si>
  <si>
    <t>ZNZ Reward</t>
  </si>
  <si>
    <t>Tier 1 RU1</t>
  </si>
  <si>
    <t>Total S2</t>
  </si>
  <si>
    <t>Total S3</t>
  </si>
  <si>
    <t>Total S4</t>
  </si>
  <si>
    <t>Policy paramaters</t>
  </si>
  <si>
    <t>Parameters</t>
  </si>
  <si>
    <t>User Input</t>
  </si>
  <si>
    <t>Calculation</t>
  </si>
  <si>
    <t>Units</t>
  </si>
  <si>
    <t>GFI Reduction Factors Tier 2 (Base)</t>
  </si>
  <si>
    <t>Fixed</t>
  </si>
  <si>
    <t>GFI reference x z-factor</t>
  </si>
  <si>
    <t>gCO2e/MJ</t>
  </si>
  <si>
    <t>GFI Reduction Factors Tier 1 (Direct)</t>
  </si>
  <si>
    <t>Reward Rate</t>
  </si>
  <si>
    <t>Based on user input</t>
  </si>
  <si>
    <t>USD/tCO2e</t>
  </si>
  <si>
    <t>Surplus Units up to Tier 1 Compliance</t>
  </si>
  <si>
    <t>Fuel cost calculations</t>
  </si>
  <si>
    <t>Fuel Costs</t>
  </si>
  <si>
    <t>User Input / Lookups</t>
  </si>
  <si>
    <t>LSFO Emissions Factor</t>
  </si>
  <si>
    <t>LSFO Emissions Factor (Converted)</t>
  </si>
  <si>
    <t>Convered to tonnes CO2e per GJ</t>
  </si>
  <si>
    <t>Emission factor / 1000</t>
  </si>
  <si>
    <t>tCO2e/GJ</t>
  </si>
  <si>
    <t>LSFO Tier 2 Emissions Deficit</t>
  </si>
  <si>
    <t>Deficit with Tier 2 requirement</t>
  </si>
  <si>
    <t>Target - LSFO actual (converted)</t>
  </si>
  <si>
    <t>tCO2e deficit/tLSFO</t>
  </si>
  <si>
    <t>LSFO Tier 1 Emissions Deficit</t>
  </si>
  <si>
    <t>Additional deficit with Tier 1 requirement</t>
  </si>
  <si>
    <t>Lower Target - LSFO actual - Deficit Tier 1</t>
  </si>
  <si>
    <t>LSFO Fuel Cost</t>
  </si>
  <si>
    <t>USD/GJ</t>
  </si>
  <si>
    <t>LSFO Tier 2 RU cost per tonne of LSFO</t>
  </si>
  <si>
    <t>Converted to cost per tonne of fuel</t>
  </si>
  <si>
    <t>Abatement cost / emissions per tonne of fuel</t>
  </si>
  <si>
    <t>USD/tLSFO</t>
  </si>
  <si>
    <t>LSFO Tier 1 RU cost per tonne of LSFO</t>
  </si>
  <si>
    <t>LNG</t>
  </si>
  <si>
    <t>LNG Emissions Factor</t>
  </si>
  <si>
    <t>LNG Emissions Factor (Converted)</t>
  </si>
  <si>
    <t>LNG Tier 2 Emissions Deficit</t>
  </si>
  <si>
    <t>Target - LNG actual (converted)</t>
  </si>
  <si>
    <t>tCO2e deficit/tLSFOeq</t>
  </si>
  <si>
    <t>LNG Tier 1 Emissions Deficit</t>
  </si>
  <si>
    <t>Lower Target - LNG actual - Deficit Tier 1</t>
  </si>
  <si>
    <t>LNG Emissions Surplus</t>
  </si>
  <si>
    <t>If 2-tier, surplus is with lower requirement</t>
  </si>
  <si>
    <t>tCO2e surplus/tLSFOeq</t>
  </si>
  <si>
    <t>LNG Fuel Cost</t>
  </si>
  <si>
    <t>LNG Tier 2 RU cost per tonne of LSFOeq</t>
  </si>
  <si>
    <t>USD/tLSFOeq</t>
  </si>
  <si>
    <t>LNG Tier 1 RU cost per tonne of LSFOeq</t>
  </si>
  <si>
    <t>Bio-diesel Emissions Factor</t>
  </si>
  <si>
    <t>Bio-diesel Emissions Factor (Converted)</t>
  </si>
  <si>
    <t>Bio-diesel Emissions Deficit</t>
  </si>
  <si>
    <t>Target - Bio-diesel actual (converted)</t>
  </si>
  <si>
    <t>Bio-diesel Fuel Cost</t>
  </si>
  <si>
    <t>Bio-methane</t>
  </si>
  <si>
    <t>Bio-methane Emissions Factor</t>
  </si>
  <si>
    <t>Bio-methane Emissions Factor (Converted)</t>
  </si>
  <si>
    <t>Bio-methane Emissions Deficit</t>
  </si>
  <si>
    <t>Target - Bio-methane actual (converted)</t>
  </si>
  <si>
    <t>Bio-methane Fuel Cost</t>
  </si>
  <si>
    <t>ZNZ Emission Factor</t>
  </si>
  <si>
    <t>ZNZ Emission Factor (Converted)</t>
  </si>
  <si>
    <t>ZNZ Tier 2 Emissions Deficit</t>
  </si>
  <si>
    <t>Target - ZNZ actual (converted)</t>
  </si>
  <si>
    <t>ZNZ Tier 1 Emissions Deficit</t>
  </si>
  <si>
    <t>Lower Target - ZNZ actual - Deficit Tier 1</t>
  </si>
  <si>
    <t>ZNZ Emissions Surplus</t>
  </si>
  <si>
    <t>Surplus is with Tier 1 requirement</t>
  </si>
  <si>
    <t>ZNZ Fuel Cost</t>
  </si>
  <si>
    <t>Surplus Unit Value</t>
  </si>
  <si>
    <t>Abatement</t>
  </si>
  <si>
    <t>Abatement cost - Reward</t>
  </si>
  <si>
    <t/>
  </si>
  <si>
    <t>USD/tCO2e abatement</t>
  </si>
  <si>
    <t>Bio-diesel blend</t>
  </si>
  <si>
    <t>Abatement cost</t>
  </si>
  <si>
    <t>Bio-methane blend</t>
  </si>
  <si>
    <t>Remedial Unit</t>
  </si>
  <si>
    <t>Cost to buy one remedial unit</t>
  </si>
  <si>
    <t>USD/tCO2e deficit</t>
  </si>
  <si>
    <t>Market price of surplus unit</t>
  </si>
  <si>
    <t>Minimum  abatement cost of RUs and other available compliance options</t>
  </si>
  <si>
    <t>USD/tonne of CO2e abatement</t>
  </si>
  <si>
    <t>Strategy 1: LSFO + Bio-diesel (base case)</t>
  </si>
  <si>
    <t>Bio-diesel cost premium</t>
  </si>
  <si>
    <t>Bio-diesel additional cost per GJ</t>
  </si>
  <si>
    <t>bio cost - LSFO cost</t>
  </si>
  <si>
    <t>Bio-diesel abatement per GJ</t>
  </si>
  <si>
    <t>bio EF - LSFO EF</t>
  </si>
  <si>
    <t>tCO2e abatement/GJ</t>
  </si>
  <si>
    <t>Tier 2</t>
  </si>
  <si>
    <t>Bio-diesel blend abatement cost</t>
  </si>
  <si>
    <t>Additional cost per t of abatement</t>
  </si>
  <si>
    <t>Cost diff/EF diff</t>
  </si>
  <si>
    <t>Minimum compliance cost</t>
  </si>
  <si>
    <t>Lowest cost compliance cost</t>
  </si>
  <si>
    <t>Minimum</t>
  </si>
  <si>
    <t>Minimum compliance option</t>
  </si>
  <si>
    <t>Lowest cost compliance option</t>
  </si>
  <si>
    <t>GFS Tier 2 cost</t>
  </si>
  <si>
    <t>Lowest cost option converted</t>
  </si>
  <si>
    <t>If bio, abate cost x abatement</t>
  </si>
  <si>
    <t>Tier 1</t>
  </si>
  <si>
    <t>Lower Tier Minimum compliance cost</t>
  </si>
  <si>
    <t>Lower Tier Minimum compliance option</t>
  </si>
  <si>
    <t>GFS Tier 1 cost</t>
  </si>
  <si>
    <t>Total Costs</t>
  </si>
  <si>
    <t>Cost per tonne of LSFO or equivalence</t>
  </si>
  <si>
    <t>Minimum between Bio-diesel and RU</t>
  </si>
  <si>
    <t>fuel cost + GFS compliance cost</t>
  </si>
  <si>
    <t>Strategy 2: LNG + Bio-methane</t>
  </si>
  <si>
    <t>Bio-methane cost premium</t>
  </si>
  <si>
    <t>Bio-methane additional cost per GJ</t>
  </si>
  <si>
    <t>Bio-methane abatement per GJ</t>
  </si>
  <si>
    <t>Bio-methane blend abatement cost</t>
  </si>
  <si>
    <t>Surplus</t>
  </si>
  <si>
    <t>Surplus when LNG emissions factor is lower than GFI requirement</t>
  </si>
  <si>
    <t>Alt surplus x LSFO LCV</t>
  </si>
  <si>
    <t xml:space="preserve">Surplus value </t>
  </si>
  <si>
    <t>Surplus at the market value</t>
  </si>
  <si>
    <t>Abatement x surplus value</t>
  </si>
  <si>
    <t>USD/tLSFO-eq</t>
  </si>
  <si>
    <t>Cost per tonne of LNG or equivalence</t>
  </si>
  <si>
    <t>Minimum between Bio-methane and penalty</t>
  </si>
  <si>
    <t>fuel cost + compliance cost</t>
  </si>
  <si>
    <t>ZNZ cost premium</t>
  </si>
  <si>
    <t>ZNZ additional cost per GJ</t>
  </si>
  <si>
    <t>ZNZ cost - LSFO cost</t>
  </si>
  <si>
    <t>ZNZ abatement per GJ</t>
  </si>
  <si>
    <t>ZNZ EF - LSFO EF</t>
  </si>
  <si>
    <t>ZNZ blend abatement cost</t>
  </si>
  <si>
    <t>If ZNZ, abate cost x abatement</t>
  </si>
  <si>
    <t>Emissions factor</t>
  </si>
  <si>
    <t>Reward</t>
  </si>
  <si>
    <t>ZNZ abatement</t>
  </si>
  <si>
    <t>attained EF - LSFO EF</t>
  </si>
  <si>
    <t>ZNZ reward</t>
  </si>
  <si>
    <t>Rewards are granted per tonne abatement by a ZNZ</t>
  </si>
  <si>
    <t>abatement x reward</t>
  </si>
  <si>
    <t>Minimum between ZNZ and penalty</t>
  </si>
  <si>
    <t>Tier 2 cost of Rus</t>
  </si>
  <si>
    <t>Assumes deficits comply with RUs</t>
  </si>
  <si>
    <t>Deficit x RU (Upper)</t>
  </si>
  <si>
    <t>Tier 1 cost of Rus</t>
  </si>
  <si>
    <t>RU for deficits with Lower Requirement</t>
  </si>
  <si>
    <t>Lower Target Deficit x RU</t>
  </si>
  <si>
    <t>If there is a deficit, assumed RU</t>
  </si>
  <si>
    <t>Deficit for lower tier, also RU</t>
  </si>
  <si>
    <t>GHG Reference values and emissions factors</t>
  </si>
  <si>
    <t>Reference</t>
  </si>
  <si>
    <t>WtW</t>
  </si>
  <si>
    <t>Lower Calorific Value</t>
  </si>
  <si>
    <t>MJ/g</t>
  </si>
  <si>
    <t>use LSFO-eq</t>
  </si>
  <si>
    <t>Source</t>
  </si>
  <si>
    <t>MEPC 83/WP.11</t>
  </si>
  <si>
    <t>We use VLSFO values from MEPC 81/16/Add.1, Annex 10, Appendix 2 (pg 49)</t>
  </si>
  <si>
    <t>We use values from MEPC 81/16/Add.1, Annex 10, Appendix 2. Where values were missing, we used FuelEU Annex II.</t>
  </si>
  <si>
    <t>Policy Parameters</t>
  </si>
  <si>
    <t>Parameter</t>
  </si>
  <si>
    <t>units</t>
  </si>
  <si>
    <t>%</t>
  </si>
  <si>
    <t>Tier 2 Remedial Unit Cost</t>
  </si>
  <si>
    <t>USD/Tonne CO2eq</t>
  </si>
  <si>
    <t>Tier 1 Remedial Unit Cost</t>
  </si>
  <si>
    <t>Minimum ZNZ Threshold</t>
  </si>
  <si>
    <t>gCO2eq/MJ</t>
  </si>
  <si>
    <t>CIA Fleet (DNV) Appendix C (table C-2)</t>
  </si>
  <si>
    <t>Fuel Cost Variables</t>
  </si>
  <si>
    <t>Variable</t>
  </si>
  <si>
    <t>MMMCZCS, 2024</t>
  </si>
  <si>
    <t>MMMCZCS, 2024 (forthcoming version)</t>
  </si>
  <si>
    <t>Reference Value (gCO2e/MJ)</t>
  </si>
  <si>
    <t>Over-compliant</t>
  </si>
  <si>
    <t>Tier 1 Range</t>
  </si>
  <si>
    <t>Tier 2 Range</t>
  </si>
  <si>
    <t>Year</t>
  </si>
  <si>
    <t>Tier 2 (%)</t>
  </si>
  <si>
    <t>Tier 2 Reduction (%)</t>
  </si>
  <si>
    <t>Tier 1 (%)</t>
  </si>
  <si>
    <t>Tier 1 Reduction (%)</t>
  </si>
  <si>
    <t>Tier 1 (gCO2e/MJ)</t>
  </si>
  <si>
    <t>Tier 2 (gCO2e/MJ)</t>
  </si>
  <si>
    <t>Non-compliant</t>
  </si>
  <si>
    <t>Pre-NZF</t>
  </si>
  <si>
    <t>NZF Compliance Cost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</si>
</sst>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0"/>
      <color theme="1"/>
      <name val="Calibri"/>
      <family val="2"/>
      <scheme val="minor"/>
    </font>
    <font>
      <b/>
      <sz val="14"/>
      <color theme="0"/>
      <name val="Calibri"/>
      <family val="2"/>
      <scheme val="minor"/>
    </font>
    <font>
      <b/>
      <sz val="18"/>
      <color theme="0"/>
      <name val="Calibri Light"/>
      <family val="2"/>
      <scheme val="major"/>
    </font>
    <font>
      <sz val="9"/>
      <color theme="1"/>
      <name val="Calibri"/>
      <family val="2"/>
      <scheme val="minor"/>
    </font>
    <font>
      <sz val="12"/>
      <color theme="0"/>
      <name val="Calibri"/>
      <family val="2"/>
      <scheme val="minor"/>
    </font>
    <font>
      <sz val="18"/>
      <color theme="0"/>
      <name val="Calibri Light"/>
      <family val="2"/>
      <scheme val="major"/>
    </font>
    <font>
      <b/>
      <sz val="14"/>
      <color theme="1" tint="0.249977111117893"/>
      <name val="Calibri"/>
      <family val="2"/>
      <scheme val="minor"/>
    </font>
    <font>
      <b/>
      <sz val="11"/>
      <color rgb="FFB8E0C2"/>
      <name val="Calibri"/>
      <family val="2"/>
      <scheme val="minor"/>
    </font>
    <font>
      <i/>
      <sz val="11"/>
      <color theme="1"/>
      <name val="Calibri"/>
      <family val="2"/>
      <scheme val="minor"/>
    </font>
    <font>
      <i/>
      <sz val="12"/>
      <color theme="8" tint="-0.499984740745262"/>
      <name val="Calibri"/>
      <family val="2"/>
      <scheme val="minor"/>
    </font>
    <font>
      <i/>
      <sz val="12"/>
      <color rgb="FF4C7870"/>
      <name val="Calibri"/>
      <family val="2"/>
      <scheme val="minor"/>
    </font>
    <font>
      <sz val="9"/>
      <color theme="0"/>
      <name val="Calibri"/>
      <family val="2"/>
      <scheme val="minor"/>
    </font>
    <font>
      <i/>
      <sz val="11"/>
      <color rgb="FF4C7870"/>
      <name val="Calibri"/>
      <family val="2"/>
      <scheme val="minor"/>
    </font>
    <font>
      <u/>
      <sz val="11"/>
      <color rgb="FFB8E0C2"/>
      <name val="Calibri"/>
      <family val="2"/>
      <scheme val="minor"/>
    </font>
    <font>
      <i/>
      <sz val="10"/>
      <color rgb="FF4C7870"/>
      <name val="Calibri"/>
      <family val="2"/>
      <scheme val="minor"/>
    </font>
    <font>
      <sz val="11"/>
      <color theme="0" tint="-0.249977111117893"/>
      <name val="Calibri"/>
      <family val="2"/>
      <scheme val="minor"/>
    </font>
    <font>
      <b/>
      <i/>
      <sz val="11"/>
      <color theme="0"/>
      <name val="Calibri"/>
      <family val="2"/>
      <scheme val="minor"/>
    </font>
    <font>
      <sz val="11"/>
      <color theme="1"/>
      <name val="Aktiv Grotesk Light"/>
      <family val="2"/>
    </font>
    <font>
      <b/>
      <i/>
      <sz val="11"/>
      <color theme="1"/>
      <name val="Calibri"/>
      <family val="2"/>
      <scheme val="minor"/>
    </font>
    <font>
      <sz val="11"/>
      <color rgb="FF5E948A"/>
      <name val="Calibri"/>
      <family val="2"/>
      <scheme val="minor"/>
    </font>
    <font>
      <i/>
      <u/>
      <sz val="11"/>
      <color theme="1"/>
      <name val="Calibri"/>
      <family val="2"/>
      <scheme val="minor"/>
    </font>
    <font>
      <sz val="11"/>
      <color rgb="FFC0000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b/>
      <sz val="20"/>
      <color theme="0"/>
      <name val="Calibri Light"/>
      <family val="2"/>
      <scheme val="major"/>
    </font>
    <font>
      <u/>
      <sz val="10"/>
      <color rgb="FFB8E0C2"/>
      <name val="Calibri"/>
      <family val="2"/>
      <scheme val="minor"/>
    </font>
    <font>
      <i/>
      <sz val="11"/>
      <color theme="0"/>
      <name val="Calibri"/>
      <family val="2"/>
      <scheme val="minor"/>
    </font>
    <font>
      <b/>
      <i/>
      <sz val="14"/>
      <color theme="0"/>
      <name val="Calibri"/>
      <family val="2"/>
      <scheme val="minor"/>
    </font>
    <font>
      <sz val="10"/>
      <color rgb="FF000000"/>
      <name val="Calibri"/>
      <family val="2"/>
    </font>
    <font>
      <b/>
      <sz val="10"/>
      <color rgb="FF000000"/>
      <name val="Calibri"/>
      <family val="2"/>
    </font>
    <font>
      <b/>
      <sz val="11"/>
      <color theme="0" tint="-0.249977111117893"/>
      <name val="Calibri"/>
      <family val="2"/>
      <scheme val="minor"/>
    </font>
    <font>
      <i/>
      <sz val="11"/>
      <color theme="0" tint="-0.249977111117893"/>
      <name val="Calibri"/>
      <family val="2"/>
      <scheme val="minor"/>
    </font>
    <font>
      <b/>
      <sz val="14"/>
      <color theme="0" tint="-0.249977111117893"/>
      <name val="Calibri"/>
      <family val="2"/>
      <scheme val="minor"/>
    </font>
    <font>
      <b/>
      <i/>
      <sz val="11"/>
      <color rgb="FFF7BE4B"/>
      <name val="Calibri"/>
      <family val="2"/>
      <scheme val="minor"/>
    </font>
    <font>
      <i/>
      <sz val="9"/>
      <color theme="0"/>
      <name val="Calibri"/>
      <family val="2"/>
      <scheme val="minor"/>
    </font>
    <font>
      <b/>
      <sz val="9"/>
      <color theme="0"/>
      <name val="Calibri"/>
      <family val="2"/>
      <scheme val="minor"/>
    </font>
    <font>
      <u/>
      <sz val="10"/>
      <color rgb="FF4C7870"/>
      <name val="Calibri"/>
      <family val="2"/>
      <scheme val="minor"/>
    </font>
    <font>
      <i/>
      <u/>
      <sz val="8"/>
      <color theme="1"/>
      <name val="Calibri"/>
      <family val="2"/>
      <scheme val="minor"/>
    </font>
    <font>
      <i/>
      <sz val="8"/>
      <color theme="1"/>
      <name val="Calibri"/>
      <family val="2"/>
      <scheme val="minor"/>
    </font>
    <font>
      <sz val="8"/>
      <name val="Calibri"/>
      <family val="2"/>
      <scheme val="minor"/>
    </font>
    <font>
      <i/>
      <sz val="11"/>
      <color rgb="FFF7BE4B"/>
      <name val="Calibri"/>
      <family val="2"/>
      <scheme val="minor"/>
    </font>
    <font>
      <b/>
      <sz val="10"/>
      <color rgb="FF00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theme="1"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style="double">
        <color rgb="FF7F7F7F"/>
      </left>
      <right/>
      <top/>
      <bottom/>
      <diagonal/>
    </border>
    <border>
      <left/>
      <right/>
      <top/>
      <bottom style="thin">
        <color auto="1"/>
      </bottom>
      <diagonal/>
    </border>
    <border>
      <left/>
      <right/>
      <top/>
      <bottom style="double">
        <color indexed="64"/>
      </bottom>
      <diagonal/>
    </border>
    <border>
      <left style="double">
        <color rgb="FF7F7F7F"/>
      </left>
      <right/>
      <top style="double">
        <color rgb="FF7F7F7F"/>
      </top>
      <bottom style="double">
        <color rgb="FF7F7F7F"/>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5" fillId="6" borderId="3" applyNumberFormat="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56">
    <xf numFmtId="0" fontId="0" fillId="0" borderId="0" xfId="0"/>
    <xf numFmtId="0" fontId="3" fillId="0" borderId="0" xfId="0" applyFont="1"/>
    <xf numFmtId="0" fontId="7" fillId="4" borderId="0" xfId="0" applyFont="1" applyFill="1" applyAlignment="1" applyProtection="1">
      <alignment vertical="center" textRotation="90"/>
      <protection locked="0"/>
    </xf>
    <xf numFmtId="0" fontId="7" fillId="5" borderId="0" xfId="0" applyFont="1" applyFill="1" applyAlignment="1" applyProtection="1">
      <alignment vertical="center"/>
      <protection locked="0"/>
    </xf>
    <xf numFmtId="0" fontId="12" fillId="5" borderId="0" xfId="0" applyFont="1" applyFill="1" applyAlignment="1" applyProtection="1">
      <alignment vertical="center"/>
      <protection locked="0"/>
    </xf>
    <xf numFmtId="0" fontId="13" fillId="5" borderId="0" xfId="0" applyFont="1" applyFill="1" applyAlignment="1" applyProtection="1">
      <alignment vertical="center"/>
      <protection locked="0"/>
    </xf>
    <xf numFmtId="0" fontId="16" fillId="7" borderId="3" xfId="3"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1" fontId="16" fillId="7" borderId="3" xfId="1" applyNumberFormat="1" applyFont="1" applyFill="1" applyBorder="1" applyAlignment="1" applyProtection="1">
      <alignment horizontal="center" vertical="center"/>
      <protection locked="0"/>
    </xf>
    <xf numFmtId="0" fontId="20" fillId="7" borderId="3" xfId="3" applyFont="1" applyFill="1" applyAlignment="1" applyProtection="1">
      <alignment horizontal="center" vertical="center"/>
      <protection locked="0"/>
    </xf>
    <xf numFmtId="0" fontId="19" fillId="3" borderId="0" xfId="2" applyFont="1" applyFill="1" applyAlignment="1" applyProtection="1">
      <alignmen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vertical="center"/>
      <protection locked="0"/>
    </xf>
    <xf numFmtId="0" fontId="23"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14" fillId="0" borderId="0" xfId="0" applyFont="1" applyAlignment="1" applyProtection="1">
      <alignment horizontal="left" vertical="center"/>
      <protection locked="0"/>
    </xf>
    <xf numFmtId="0" fontId="3" fillId="0" borderId="0" xfId="0" applyFont="1" applyAlignment="1" applyProtection="1">
      <alignment vertical="center"/>
      <protection locked="0"/>
    </xf>
    <xf numFmtId="2" fontId="0" fillId="0" borderId="0" xfId="0" applyNumberFormat="1" applyAlignment="1" applyProtection="1">
      <alignment vertical="center"/>
      <protection locked="0"/>
    </xf>
    <xf numFmtId="2" fontId="0" fillId="0" borderId="5" xfId="0" applyNumberFormat="1" applyBorder="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lignment vertical="center"/>
    </xf>
    <xf numFmtId="0" fontId="14" fillId="0" borderId="0" xfId="0" applyFont="1" applyAlignment="1">
      <alignment horizontal="left" vertical="center"/>
    </xf>
    <xf numFmtId="0" fontId="14" fillId="0" borderId="5" xfId="0" applyFont="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2" fontId="0" fillId="2" borderId="0" xfId="0" applyNumberFormat="1" applyFill="1" applyAlignment="1" applyProtection="1">
      <alignment vertical="center"/>
      <protection locked="0"/>
    </xf>
    <xf numFmtId="0" fontId="26" fillId="0" borderId="0" xfId="4" applyFont="1" applyFill="1" applyBorder="1" applyAlignment="1" applyProtection="1">
      <alignment vertical="center"/>
      <protection locked="0"/>
    </xf>
    <xf numFmtId="2" fontId="0" fillId="0" borderId="0" xfId="0" applyNumberFormat="1" applyAlignment="1">
      <alignment vertical="center"/>
    </xf>
    <xf numFmtId="0" fontId="3" fillId="0" borderId="2" xfId="0" applyFont="1" applyBorder="1" applyAlignment="1">
      <alignment vertical="center"/>
    </xf>
    <xf numFmtId="0" fontId="24" fillId="0" borderId="2"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26" fillId="2" borderId="0" xfId="4" applyFont="1" applyFill="1" applyBorder="1" applyAlignment="1" applyProtection="1">
      <alignment vertical="center"/>
      <protection locked="0"/>
    </xf>
    <xf numFmtId="0" fontId="0" fillId="2" borderId="0" xfId="0" applyFill="1" applyAlignment="1" applyProtection="1">
      <alignment vertical="center"/>
      <protection locked="0"/>
    </xf>
    <xf numFmtId="0" fontId="14" fillId="0" borderId="0" xfId="0" applyFont="1" applyAlignment="1">
      <alignment vertical="center"/>
    </xf>
    <xf numFmtId="0" fontId="26" fillId="0" borderId="5" xfId="4" applyFont="1" applyFill="1" applyBorder="1" applyAlignment="1" applyProtection="1">
      <alignment vertical="center"/>
      <protection locked="0"/>
    </xf>
    <xf numFmtId="0" fontId="0" fillId="0" borderId="5" xfId="0"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26" fillId="0" borderId="0" xfId="4" applyFont="1" applyFill="1" applyAlignment="1" applyProtection="1">
      <alignment horizontal="left" vertical="center"/>
      <protection locked="0"/>
    </xf>
    <xf numFmtId="0" fontId="17" fillId="3" borderId="0" xfId="0" applyFont="1" applyFill="1" applyAlignment="1" applyProtection="1">
      <alignment horizontal="left" vertical="center" wrapText="1"/>
      <protection locked="0"/>
    </xf>
    <xf numFmtId="0" fontId="16" fillId="7" borderId="7" xfId="3"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11" fillId="3" borderId="0" xfId="0" applyFont="1" applyFill="1" applyAlignment="1" applyProtection="1">
      <alignment vertical="center"/>
      <protection locked="0"/>
    </xf>
    <xf numFmtId="0" fontId="28" fillId="3" borderId="0" xfId="0" applyFont="1" applyFill="1" applyAlignment="1" applyProtection="1">
      <alignment vertical="center"/>
      <protection locked="0"/>
    </xf>
    <xf numFmtId="0" fontId="29" fillId="3" borderId="0" xfId="0" applyFont="1" applyFill="1" applyAlignment="1" applyProtection="1">
      <alignment vertical="center"/>
      <protection locked="0"/>
    </xf>
    <xf numFmtId="0" fontId="30" fillId="3" borderId="0" xfId="0" applyFont="1" applyFill="1" applyAlignment="1" applyProtection="1">
      <alignment vertical="center"/>
      <protection locked="0"/>
    </xf>
    <xf numFmtId="0" fontId="4" fillId="3" borderId="0" xfId="0" applyFont="1" applyFill="1" applyAlignment="1" applyProtection="1">
      <alignment vertical="center"/>
      <protection locked="0"/>
    </xf>
    <xf numFmtId="0" fontId="9" fillId="0" borderId="0" xfId="0" applyFont="1" applyAlignment="1" applyProtection="1">
      <alignment vertical="center"/>
      <protection locked="0"/>
    </xf>
    <xf numFmtId="0" fontId="25" fillId="0" borderId="0" xfId="0" applyFont="1" applyAlignment="1" applyProtection="1">
      <alignment vertical="center"/>
      <protection locked="0"/>
    </xf>
    <xf numFmtId="0" fontId="10" fillId="3" borderId="0" xfId="0" applyFont="1" applyFill="1" applyAlignment="1" applyProtection="1">
      <alignment horizontal="center" vertical="center" wrapText="1"/>
      <protection locked="0"/>
    </xf>
    <xf numFmtId="0" fontId="7" fillId="4" borderId="0" xfId="0" applyFont="1" applyFill="1" applyAlignment="1" applyProtection="1">
      <alignment vertical="center"/>
      <protection locked="0"/>
    </xf>
    <xf numFmtId="0" fontId="3" fillId="8"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0" fillId="8" borderId="0" xfId="0" applyFill="1" applyAlignment="1" applyProtection="1">
      <alignment vertical="center"/>
      <protection locked="0"/>
    </xf>
    <xf numFmtId="0" fontId="2" fillId="8" borderId="0" xfId="0" applyFont="1" applyFill="1" applyAlignment="1" applyProtection="1">
      <alignment vertical="center"/>
      <protection locked="0"/>
    </xf>
    <xf numFmtId="0" fontId="6" fillId="8" borderId="0" xfId="0" applyFont="1" applyFill="1" applyAlignment="1" applyProtection="1">
      <alignment horizontal="center" vertical="center"/>
      <protection locked="0"/>
    </xf>
    <xf numFmtId="0" fontId="32" fillId="5" borderId="0" xfId="0" applyFont="1" applyFill="1" applyAlignment="1" applyProtection="1">
      <alignment vertical="center"/>
      <protection locked="0"/>
    </xf>
    <xf numFmtId="0" fontId="29" fillId="3" borderId="0" xfId="0" applyFont="1" applyFill="1" applyAlignment="1" applyProtection="1">
      <alignment vertical="center" wrapText="1"/>
      <protection locked="0"/>
    </xf>
    <xf numFmtId="0" fontId="33" fillId="3" borderId="0" xfId="2" applyFont="1" applyFill="1" applyAlignment="1" applyProtection="1">
      <alignment vertical="center"/>
      <protection locked="0"/>
    </xf>
    <xf numFmtId="0" fontId="11"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21"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34" fillId="4" borderId="0" xfId="0" applyFont="1" applyFill="1" applyAlignment="1" applyProtection="1">
      <alignment vertical="center"/>
      <protection locked="0"/>
    </xf>
    <xf numFmtId="0" fontId="22" fillId="4" borderId="0" xfId="0" applyFont="1" applyFill="1" applyAlignment="1" applyProtection="1">
      <alignment vertical="center"/>
      <protection locked="0"/>
    </xf>
    <xf numFmtId="0" fontId="34" fillId="4" borderId="0" xfId="0" applyFont="1" applyFill="1" applyAlignment="1" applyProtection="1">
      <alignment horizontal="left" vertical="center"/>
      <protection locked="0"/>
    </xf>
    <xf numFmtId="0" fontId="22" fillId="4" borderId="0" xfId="0" applyFont="1" applyFill="1" applyAlignment="1" applyProtection="1">
      <alignment horizontal="left" vertical="center"/>
      <protection locked="0"/>
    </xf>
    <xf numFmtId="0" fontId="35" fillId="4" borderId="0" xfId="0" applyFont="1" applyFill="1" applyAlignment="1" applyProtection="1">
      <alignment vertical="center"/>
      <protection locked="0"/>
    </xf>
    <xf numFmtId="0" fontId="18" fillId="7" borderId="3" xfId="3" applyFont="1" applyFill="1" applyAlignment="1" applyProtection="1">
      <alignment horizontal="center" vertical="center" wrapText="1"/>
      <protection locked="0"/>
    </xf>
    <xf numFmtId="0" fontId="11" fillId="4" borderId="0" xfId="0" applyFont="1" applyFill="1" applyProtection="1">
      <protection locked="0"/>
    </xf>
    <xf numFmtId="0" fontId="38" fillId="4" borderId="0" xfId="0" applyFont="1" applyFill="1" applyProtection="1">
      <protection locked="0"/>
    </xf>
    <xf numFmtId="0" fontId="39" fillId="4" borderId="0" xfId="0" applyFont="1" applyFill="1" applyAlignment="1" applyProtection="1">
      <alignment vertical="center"/>
      <protection locked="0"/>
    </xf>
    <xf numFmtId="0" fontId="40" fillId="4" borderId="0" xfId="0" applyFont="1" applyFill="1" applyAlignment="1" applyProtection="1">
      <alignment vertical="center"/>
      <protection locked="0"/>
    </xf>
    <xf numFmtId="0" fontId="0" fillId="0" borderId="0" xfId="0" applyAlignment="1">
      <alignment horizontal="right"/>
    </xf>
    <xf numFmtId="0" fontId="14" fillId="0" borderId="0" xfId="0" applyFont="1"/>
    <xf numFmtId="0" fontId="14" fillId="0" borderId="0" xfId="0" applyFont="1" applyAlignment="1">
      <alignment horizontal="left"/>
    </xf>
    <xf numFmtId="0" fontId="24" fillId="0" borderId="2" xfId="0" applyFont="1" applyBorder="1" applyAlignment="1" applyProtection="1">
      <alignment horizontal="left" vertical="center" wrapText="1"/>
      <protection locked="0"/>
    </xf>
    <xf numFmtId="2" fontId="0" fillId="0" borderId="0" xfId="0" applyNumberFormat="1"/>
    <xf numFmtId="0" fontId="14" fillId="0" borderId="0" xfId="0" applyFont="1" applyAlignment="1" applyProtection="1">
      <alignment horizontal="left"/>
      <protection locked="0"/>
    </xf>
    <xf numFmtId="0" fontId="3" fillId="0" borderId="0" xfId="0" applyFont="1" applyAlignment="1">
      <alignment horizontal="right"/>
    </xf>
    <xf numFmtId="0" fontId="0" fillId="0" borderId="0" xfId="0" quotePrefix="1" applyAlignment="1" applyProtection="1">
      <alignment vertical="center"/>
      <protection locked="0"/>
    </xf>
    <xf numFmtId="0" fontId="0" fillId="0" borderId="5" xfId="0" quotePrefix="1" applyBorder="1" applyAlignment="1" applyProtection="1">
      <alignment vertical="center"/>
      <protection locked="0"/>
    </xf>
    <xf numFmtId="0" fontId="14" fillId="0" borderId="5" xfId="0" applyFont="1" applyBorder="1" applyAlignment="1" applyProtection="1">
      <alignment vertical="center"/>
      <protection locked="0"/>
    </xf>
    <xf numFmtId="0" fontId="27" fillId="0" borderId="0" xfId="0" applyFont="1"/>
    <xf numFmtId="0" fontId="3"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3" fillId="0" borderId="6" xfId="0" applyFont="1" applyBorder="1" applyAlignment="1" applyProtection="1">
      <alignment vertical="center"/>
      <protection locked="0"/>
    </xf>
    <xf numFmtId="0" fontId="24" fillId="0" borderId="6" xfId="0" applyFont="1" applyBorder="1" applyAlignment="1" applyProtection="1">
      <alignment vertical="center"/>
      <protection locked="0"/>
    </xf>
    <xf numFmtId="0" fontId="24" fillId="0" borderId="6" xfId="0" applyFont="1" applyBorder="1" applyAlignment="1" applyProtection="1">
      <alignment horizontal="left" vertical="center"/>
      <protection locked="0"/>
    </xf>
    <xf numFmtId="0" fontId="3" fillId="0" borderId="0" xfId="0" quotePrefix="1" applyFont="1" applyAlignment="1" applyProtection="1">
      <alignment vertical="center"/>
      <protection locked="0"/>
    </xf>
    <xf numFmtId="0" fontId="3" fillId="0" borderId="6" xfId="0" quotePrefix="1" applyFont="1" applyBorder="1" applyAlignment="1" applyProtection="1">
      <alignment vertical="center"/>
      <protection locked="0"/>
    </xf>
    <xf numFmtId="0" fontId="24" fillId="0" borderId="6" xfId="0" quotePrefix="1"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6" xfId="0" applyFont="1" applyBorder="1" applyAlignment="1" applyProtection="1">
      <alignment horizontal="left" vertical="center"/>
      <protection locked="0"/>
    </xf>
    <xf numFmtId="0" fontId="41" fillId="3" borderId="0" xfId="0" applyFont="1" applyFill="1" applyAlignment="1" applyProtection="1">
      <alignment vertical="center"/>
      <protection locked="0"/>
    </xf>
    <xf numFmtId="1" fontId="34" fillId="4" borderId="9" xfId="0" applyNumberFormat="1" applyFont="1" applyFill="1" applyBorder="1" applyAlignment="1">
      <alignment vertical="center"/>
    </xf>
    <xf numFmtId="0" fontId="34" fillId="4" borderId="0" xfId="0" applyFont="1" applyFill="1" applyAlignment="1">
      <alignment vertical="center"/>
    </xf>
    <xf numFmtId="0" fontId="34" fillId="4" borderId="0" xfId="0" quotePrefix="1" applyFont="1" applyFill="1" applyAlignment="1">
      <alignment vertical="center"/>
    </xf>
    <xf numFmtId="0" fontId="42" fillId="4" borderId="0" xfId="0" applyFont="1" applyFill="1" applyAlignment="1">
      <alignment horizontal="left" vertical="center"/>
    </xf>
    <xf numFmtId="0" fontId="22" fillId="4" borderId="0" xfId="0" applyFont="1" applyFill="1" applyAlignment="1">
      <alignment vertical="center"/>
    </xf>
    <xf numFmtId="0" fontId="35" fillId="4" borderId="0" xfId="0" applyFont="1" applyFill="1" applyAlignment="1">
      <alignment vertical="center"/>
    </xf>
    <xf numFmtId="0" fontId="24" fillId="0" borderId="2" xfId="0" applyFont="1" applyBorder="1" applyAlignment="1">
      <alignment horizontal="left" vertical="center" wrapText="1"/>
    </xf>
    <xf numFmtId="0" fontId="14" fillId="0" borderId="1" xfId="0" applyFont="1" applyBorder="1"/>
    <xf numFmtId="0" fontId="14" fillId="0" borderId="1" xfId="0" applyFont="1" applyBorder="1" applyAlignment="1">
      <alignment vertical="center"/>
    </xf>
    <xf numFmtId="0" fontId="14" fillId="0" borderId="0" xfId="0" quotePrefix="1" applyFont="1" applyAlignment="1">
      <alignment vertical="center"/>
    </xf>
    <xf numFmtId="0" fontId="14" fillId="0" borderId="5" xfId="0" quotePrefix="1" applyFont="1" applyBorder="1" applyAlignment="1">
      <alignment vertical="center"/>
    </xf>
    <xf numFmtId="0" fontId="14" fillId="0" borderId="8" xfId="0" applyFont="1" applyBorder="1" applyAlignment="1">
      <alignment vertical="center"/>
    </xf>
    <xf numFmtId="0" fontId="24" fillId="0" borderId="2" xfId="0" applyFont="1" applyBorder="1" applyAlignment="1">
      <alignment horizontal="left" vertical="center"/>
    </xf>
    <xf numFmtId="0" fontId="3" fillId="0" borderId="2" xfId="0" applyFont="1" applyBorder="1" applyAlignment="1">
      <alignment horizontal="left" vertical="center" wrapText="1"/>
    </xf>
    <xf numFmtId="2" fontId="3" fillId="0" borderId="0" xfId="0" quotePrefix="1" applyNumberFormat="1" applyFont="1"/>
    <xf numFmtId="2" fontId="0" fillId="0" borderId="0" xfId="0" quotePrefix="1" applyNumberFormat="1" applyAlignment="1">
      <alignment vertical="center"/>
    </xf>
    <xf numFmtId="2" fontId="0" fillId="0" borderId="5" xfId="0" quotePrefix="1" applyNumberFormat="1" applyBorder="1" applyAlignment="1">
      <alignment vertical="center"/>
    </xf>
    <xf numFmtId="1" fontId="14" fillId="0" borderId="0" xfId="0" applyNumberFormat="1" applyFont="1" applyAlignment="1">
      <alignment horizontal="right"/>
    </xf>
    <xf numFmtId="1" fontId="3" fillId="0" borderId="0" xfId="0" applyNumberFormat="1" applyFont="1" applyAlignment="1">
      <alignment vertical="center"/>
    </xf>
    <xf numFmtId="1" fontId="3" fillId="0" borderId="6" xfId="0" applyNumberFormat="1" applyFont="1" applyBorder="1" applyAlignment="1">
      <alignment vertical="center"/>
    </xf>
    <xf numFmtId="1" fontId="3" fillId="0" borderId="0" xfId="0" applyNumberFormat="1" applyFont="1"/>
    <xf numFmtId="1" fontId="3" fillId="0" borderId="6" xfId="0" applyNumberFormat="1" applyFont="1" applyBorder="1"/>
    <xf numFmtId="2" fontId="0" fillId="2" borderId="0" xfId="0" applyNumberFormat="1" applyFill="1" applyAlignment="1">
      <alignment vertical="center"/>
    </xf>
    <xf numFmtId="0" fontId="26" fillId="2" borderId="0" xfId="4" applyFont="1" applyFill="1" applyAlignment="1" applyProtection="1">
      <alignment vertical="center"/>
      <protection locked="0"/>
    </xf>
    <xf numFmtId="2" fontId="0" fillId="2" borderId="5" xfId="0" applyNumberFormat="1" applyFill="1" applyBorder="1" applyAlignment="1">
      <alignment vertical="center"/>
    </xf>
    <xf numFmtId="0" fontId="46" fillId="0" borderId="0" xfId="0" applyFont="1" applyAlignment="1" applyProtection="1">
      <alignment horizontal="left" vertical="center"/>
      <protection locked="0"/>
    </xf>
    <xf numFmtId="0" fontId="45" fillId="0" borderId="0" xfId="4" applyFont="1" applyFill="1" applyBorder="1" applyAlignment="1" applyProtection="1">
      <alignment horizontal="left" vertical="center" wrapText="1"/>
      <protection locked="0"/>
    </xf>
    <xf numFmtId="0" fontId="46" fillId="0" borderId="0" xfId="0" applyFont="1" applyAlignment="1" applyProtection="1">
      <alignment horizontal="left" vertical="center" wrapText="1"/>
      <protection locked="0"/>
    </xf>
    <xf numFmtId="1" fontId="34" fillId="4" borderId="1" xfId="0" applyNumberFormat="1" applyFont="1" applyFill="1" applyBorder="1" applyAlignment="1">
      <alignment vertical="center"/>
    </xf>
    <xf numFmtId="0" fontId="3" fillId="0" borderId="1" xfId="0" applyFont="1" applyBorder="1"/>
    <xf numFmtId="0" fontId="0" fillId="0" borderId="1" xfId="0" applyBorder="1"/>
    <xf numFmtId="164" fontId="0" fillId="0" borderId="1" xfId="0" applyNumberFormat="1" applyBorder="1"/>
    <xf numFmtId="165" fontId="0" fillId="0" borderId="1" xfId="0" applyNumberFormat="1" applyBorder="1"/>
    <xf numFmtId="2" fontId="0" fillId="0" borderId="1" xfId="0" applyNumberFormat="1" applyBorder="1"/>
    <xf numFmtId="164" fontId="0" fillId="0" borderId="0" xfId="0" applyNumberFormat="1"/>
    <xf numFmtId="0" fontId="0" fillId="0" borderId="0" xfId="0" applyAlignment="1">
      <alignment horizontal="right" vertical="center"/>
    </xf>
    <xf numFmtId="0" fontId="14" fillId="0" borderId="5" xfId="0" applyFont="1" applyBorder="1"/>
    <xf numFmtId="0" fontId="24" fillId="0" borderId="10" xfId="0" applyFont="1" applyBorder="1" applyAlignment="1">
      <alignment horizontal="left" vertical="center" wrapText="1"/>
    </xf>
    <xf numFmtId="0" fontId="14" fillId="0" borderId="10" xfId="0" applyFont="1" applyBorder="1"/>
    <xf numFmtId="2" fontId="3" fillId="0" borderId="0" xfId="0" applyNumberFormat="1" applyFont="1"/>
    <xf numFmtId="0" fontId="48" fillId="3" borderId="0" xfId="0" applyFont="1" applyFill="1" applyAlignment="1" applyProtection="1">
      <alignment vertical="center"/>
      <protection locked="0"/>
    </xf>
    <xf numFmtId="4" fontId="49" fillId="0" borderId="0" xfId="0" applyNumberFormat="1" applyFont="1" applyAlignment="1">
      <alignment vertical="top" wrapText="1"/>
    </xf>
    <xf numFmtId="4" fontId="49" fillId="0" borderId="0" xfId="0" applyNumberFormat="1" applyFont="1" applyAlignment="1">
      <alignment vertical="top"/>
    </xf>
    <xf numFmtId="164" fontId="3" fillId="2" borderId="5" xfId="0" applyNumberFormat="1" applyFont="1" applyFill="1" applyBorder="1" applyAlignment="1">
      <alignment vertical="center"/>
    </xf>
    <xf numFmtId="2" fontId="3" fillId="0" borderId="0" xfId="0" applyNumberFormat="1" applyFont="1" applyAlignment="1" applyProtection="1">
      <alignment vertical="center"/>
      <protection locked="0"/>
    </xf>
    <xf numFmtId="2" fontId="3" fillId="0" borderId="0" xfId="0" applyNumberFormat="1" applyFont="1" applyAlignment="1" applyProtection="1">
      <alignment vertical="center" wrapText="1"/>
      <protection locked="0"/>
    </xf>
    <xf numFmtId="0" fontId="30" fillId="0" borderId="0" xfId="0" applyFont="1" applyAlignment="1">
      <alignment vertical="center" wrapText="1"/>
    </xf>
    <xf numFmtId="0" fontId="3" fillId="0" borderId="0" xfId="0" applyFont="1" applyAlignment="1">
      <alignment horizontal="right" wrapText="1"/>
    </xf>
    <xf numFmtId="0" fontId="0" fillId="0" borderId="5" xfId="0" applyBorder="1" applyAlignment="1">
      <alignment vertical="center"/>
    </xf>
    <xf numFmtId="2" fontId="0" fillId="0" borderId="5" xfId="0" applyNumberFormat="1" applyBorder="1" applyAlignment="1">
      <alignment vertical="center"/>
    </xf>
    <xf numFmtId="0" fontId="17" fillId="3" borderId="4" xfId="0" applyFont="1" applyFill="1" applyBorder="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29" fillId="8" borderId="0" xfId="0" applyFont="1" applyFill="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44" fillId="0" borderId="0" xfId="2" applyFont="1" applyAlignment="1" applyProtection="1">
      <alignment horizontal="left" vertical="top" wrapText="1"/>
      <protection locked="0"/>
    </xf>
    <xf numFmtId="0" fontId="17" fillId="3" borderId="0" xfId="0" quotePrefix="1" applyFont="1" applyFill="1" applyAlignment="1" applyProtection="1">
      <alignment horizontal="left" vertical="center" wrapText="1"/>
      <protection locked="0"/>
    </xf>
    <xf numFmtId="0" fontId="45" fillId="0" borderId="10" xfId="4" applyFont="1" applyFill="1" applyBorder="1" applyAlignment="1" applyProtection="1">
      <alignment horizontal="center" vertical="center" wrapText="1"/>
      <protection locked="0"/>
    </xf>
  </cellXfs>
  <cellStyles count="6">
    <cellStyle name="Hyperlink" xfId="2" builtinId="8"/>
    <cellStyle name="Hyperlink 2" xfId="4" xr:uid="{CD965EF4-3A21-427B-BBC0-1F1A7D7382B6}"/>
    <cellStyle name="Input 2" xfId="3" xr:uid="{F855FEC2-D0D6-446C-A8B4-F862DBFFFACF}"/>
    <cellStyle name="Normal" xfId="0" builtinId="0"/>
    <cellStyle name="Percent" xfId="1" builtinId="5"/>
    <cellStyle name="Percent 2" xfId="5" xr:uid="{F568A3B3-3F12-46BE-8105-C1FE9F1B80E2}"/>
  </cellStyles>
  <dxfs count="6">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colors>
    <mruColors>
      <color rgb="FF4C7870"/>
      <color rgb="FFDCB6B6"/>
      <color rgb="FFFCE6BA"/>
      <color rgb="FFC28080"/>
      <color rgb="FFF7BE4B"/>
      <color rgb="FFB8E0C2"/>
      <color rgb="FFF2F2F2"/>
      <color rgb="FFFFFFFF"/>
      <color rgb="FFC2D8D4"/>
      <color rgb="FF5E9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a:t>Comparing MTM compliance strategies [USD/tLSFOeq] </a:t>
            </a:r>
          </a:p>
        </c:rich>
      </c:tx>
      <c:layout>
        <c:manualLayout>
          <c:xMode val="edge"/>
          <c:yMode val="edge"/>
          <c:x val="0.24375690229985003"/>
          <c:y val="8.4921185314884551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7614063113541137E-2"/>
          <c:y val="0.11823404499942926"/>
          <c:w val="0.90412248790049565"/>
          <c:h val="0.78538791372071526"/>
        </c:manualLayout>
      </c:layout>
      <c:lineChart>
        <c:grouping val="standard"/>
        <c:varyColors val="0"/>
        <c:ser>
          <c:idx val="0"/>
          <c:order val="0"/>
          <c:tx>
            <c:strRef>
              <c:f>'CCC Summary'!$G$37</c:f>
              <c:strCache>
                <c:ptCount val="1"/>
                <c:pt idx="0">
                  <c:v>Strategy 1: LSFO + bio-diesel (base case)</c:v>
                </c:pt>
              </c:strCache>
            </c:strRef>
          </c:tx>
          <c:spPr>
            <a:ln w="38100" cap="rnd">
              <a:solidFill>
                <a:schemeClr val="tx1">
                  <a:lumMod val="65000"/>
                  <a:lumOff val="35000"/>
                </a:schemeClr>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Summary'!$H$37:$AD$37</c:f>
              <c:numCache>
                <c:formatCode>0</c:formatCode>
                <c:ptCount val="23"/>
                <c:pt idx="0">
                  <c:v>686.54734627729408</c:v>
                </c:pt>
                <c:pt idx="1">
                  <c:v>698.22540722423264</c:v>
                </c:pt>
                <c:pt idx="2">
                  <c:v>713.36505159739556</c:v>
                </c:pt>
                <c:pt idx="3">
                  <c:v>775.87163498502537</c:v>
                </c:pt>
                <c:pt idx="4">
                  <c:v>844.67767471072193</c:v>
                </c:pt>
                <c:pt idx="5">
                  <c:v>919.7831707744856</c:v>
                </c:pt>
                <c:pt idx="6">
                  <c:v>990.1306824803886</c:v>
                </c:pt>
                <c:pt idx="7">
                  <c:v>1052.8417176804046</c:v>
                </c:pt>
                <c:pt idx="8">
                  <c:v>1152.6092736803948</c:v>
                </c:pt>
                <c:pt idx="9">
                  <c:v>1252.3768296803851</c:v>
                </c:pt>
                <c:pt idx="10">
                  <c:v>1352.144385680416</c:v>
                </c:pt>
                <c:pt idx="11">
                  <c:v>1451.9119416804062</c:v>
                </c:pt>
                <c:pt idx="12">
                  <c:v>1551.6794976803965</c:v>
                </c:pt>
                <c:pt idx="13">
                  <c:v>1594.4370216803879</c:v>
                </c:pt>
                <c:pt idx="14">
                  <c:v>1637.1945456803896</c:v>
                </c:pt>
                <c:pt idx="15">
                  <c:v>1679.9520696803913</c:v>
                </c:pt>
                <c:pt idx="16">
                  <c:v>1722.7095936803928</c:v>
                </c:pt>
                <c:pt idx="17">
                  <c:v>1765.4671176803843</c:v>
                </c:pt>
                <c:pt idx="18">
                  <c:v>1808.2246416803857</c:v>
                </c:pt>
                <c:pt idx="19">
                  <c:v>1850.9821656803874</c:v>
                </c:pt>
                <c:pt idx="20">
                  <c:v>1886.238369680389</c:v>
                </c:pt>
                <c:pt idx="21">
                  <c:v>1917.7439136803903</c:v>
                </c:pt>
                <c:pt idx="22">
                  <c:v>1949.2494576803913</c:v>
                </c:pt>
              </c:numCache>
            </c:numRef>
          </c:val>
          <c:smooth val="0"/>
          <c:extLst>
            <c:ext xmlns:c16="http://schemas.microsoft.com/office/drawing/2014/chart" uri="{C3380CC4-5D6E-409C-BE32-E72D297353CC}">
              <c16:uniqueId val="{00000000-5B68-4179-B4EA-EAD3A89C284E}"/>
            </c:ext>
          </c:extLst>
        </c:ser>
        <c:ser>
          <c:idx val="1"/>
          <c:order val="1"/>
          <c:tx>
            <c:strRef>
              <c:f>'CCC Summary'!$G$38</c:f>
              <c:strCache>
                <c:ptCount val="1"/>
                <c:pt idx="0">
                  <c:v>Strategy 2: LNG + bio-methane</c:v>
                </c:pt>
              </c:strCache>
            </c:strRef>
          </c:tx>
          <c:spPr>
            <a:ln w="38100" cap="rnd">
              <a:solidFill>
                <a:schemeClr val="bg1">
                  <a:lumMod val="65000"/>
                </a:schemeClr>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Summary'!$H$38:$AD$38</c:f>
              <c:numCache>
                <c:formatCode>0</c:formatCode>
                <c:ptCount val="23"/>
                <c:pt idx="0">
                  <c:v>540.33186714206431</c:v>
                </c:pt>
                <c:pt idx="1">
                  <c:v>507.37524201569801</c:v>
                </c:pt>
                <c:pt idx="2">
                  <c:v>472.59423004358536</c:v>
                </c:pt>
                <c:pt idx="3">
                  <c:v>488.88901709230475</c:v>
                </c:pt>
                <c:pt idx="4">
                  <c:v>505.18380414102398</c:v>
                </c:pt>
                <c:pt idx="5">
                  <c:v>562.54576950974342</c:v>
                </c:pt>
                <c:pt idx="6">
                  <c:v>625.04868775846273</c:v>
                </c:pt>
                <c:pt idx="7">
                  <c:v>687.55160600719796</c:v>
                </c:pt>
                <c:pt idx="8">
                  <c:v>786.32746781707328</c:v>
                </c:pt>
                <c:pt idx="9">
                  <c:v>885.10332962694815</c:v>
                </c:pt>
                <c:pt idx="10">
                  <c:v>983.87919143686372</c:v>
                </c:pt>
                <c:pt idx="11">
                  <c:v>1082.6550532467386</c:v>
                </c:pt>
                <c:pt idx="12">
                  <c:v>1181.4309150566139</c:v>
                </c:pt>
                <c:pt idx="13">
                  <c:v>1223.2243769673528</c:v>
                </c:pt>
                <c:pt idx="14">
                  <c:v>1265.0178388781021</c:v>
                </c:pt>
                <c:pt idx="15">
                  <c:v>1306.8113007888512</c:v>
                </c:pt>
                <c:pt idx="16">
                  <c:v>1348.6047626996003</c:v>
                </c:pt>
                <c:pt idx="17">
                  <c:v>1390.398224610339</c:v>
                </c:pt>
                <c:pt idx="18">
                  <c:v>1432.3191435356082</c:v>
                </c:pt>
                <c:pt idx="19">
                  <c:v>1474.2400624608774</c:v>
                </c:pt>
                <c:pt idx="20">
                  <c:v>1508.6596613861466</c:v>
                </c:pt>
                <c:pt idx="21">
                  <c:v>1539.3286003114156</c:v>
                </c:pt>
                <c:pt idx="22">
                  <c:v>1569.9975392366844</c:v>
                </c:pt>
              </c:numCache>
            </c:numRef>
          </c:val>
          <c:smooth val="0"/>
          <c:extLst>
            <c:ext xmlns:c16="http://schemas.microsoft.com/office/drawing/2014/chart" uri="{C3380CC4-5D6E-409C-BE32-E72D297353CC}">
              <c16:uniqueId val="{00000001-5B68-4179-B4EA-EAD3A89C284E}"/>
            </c:ext>
          </c:extLst>
        </c:ser>
        <c:ser>
          <c:idx val="2"/>
          <c:order val="2"/>
          <c:tx>
            <c:strRef>
              <c:f>'CCC Summary'!$G$39</c:f>
              <c:strCache>
                <c:ptCount val="1"/>
                <c:pt idx="0">
                  <c:v>Strategy 3: LSFO + ZNZ</c:v>
                </c:pt>
              </c:strCache>
            </c:strRef>
          </c:tx>
          <c:spPr>
            <a:ln w="38100" cap="rnd">
              <a:solidFill>
                <a:srgbClr val="5E948A"/>
              </a:solidFill>
              <a:prstDash val="sysDash"/>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Summary'!$H$39:$AD$39</c:f>
              <c:numCache>
                <c:formatCode>0</c:formatCode>
                <c:ptCount val="23"/>
                <c:pt idx="0">
                  <c:v>732.54956262407654</c:v>
                </c:pt>
                <c:pt idx="1">
                  <c:v>745.27705435222913</c:v>
                </c:pt>
                <c:pt idx="2">
                  <c:v>755.66479553038846</c:v>
                </c:pt>
                <c:pt idx="3">
                  <c:v>816.03608018038847</c:v>
                </c:pt>
                <c:pt idx="4">
                  <c:v>876.40736483038859</c:v>
                </c:pt>
                <c:pt idx="5">
                  <c:v>936.77864948038859</c:v>
                </c:pt>
                <c:pt idx="6">
                  <c:v>997.1499341303886</c:v>
                </c:pt>
                <c:pt idx="7">
                  <c:v>1057.5212187804045</c:v>
                </c:pt>
                <c:pt idx="8">
                  <c:v>1156.5868496153948</c:v>
                </c:pt>
                <c:pt idx="9">
                  <c:v>1255.6524804503852</c:v>
                </c:pt>
                <c:pt idx="10">
                  <c:v>1354.7181112854159</c:v>
                </c:pt>
                <c:pt idx="11">
                  <c:v>1453.7837421204063</c:v>
                </c:pt>
                <c:pt idx="12">
                  <c:v>1552.8493729553966</c:v>
                </c:pt>
                <c:pt idx="13">
                  <c:v>1595.5133069333879</c:v>
                </c:pt>
                <c:pt idx="14">
                  <c:v>1638.1772409113896</c:v>
                </c:pt>
                <c:pt idx="15">
                  <c:v>1680.8411748893914</c:v>
                </c:pt>
                <c:pt idx="16">
                  <c:v>1723.5051088673929</c:v>
                </c:pt>
                <c:pt idx="17">
                  <c:v>1766.1690428453842</c:v>
                </c:pt>
                <c:pt idx="18">
                  <c:v>1808.8329768233857</c:v>
                </c:pt>
                <c:pt idx="19">
                  <c:v>1851.4969108013875</c:v>
                </c:pt>
                <c:pt idx="20">
                  <c:v>1886.6595247793891</c:v>
                </c:pt>
                <c:pt idx="21">
                  <c:v>1918.0714787573902</c:v>
                </c:pt>
                <c:pt idx="22">
                  <c:v>1949.4834327353913</c:v>
                </c:pt>
              </c:numCache>
            </c:numRef>
          </c:val>
          <c:smooth val="0"/>
          <c:extLst>
            <c:ext xmlns:c16="http://schemas.microsoft.com/office/drawing/2014/chart" uri="{C3380CC4-5D6E-409C-BE32-E72D297353CC}">
              <c16:uniqueId val="{00000002-5B68-4179-B4EA-EAD3A89C284E}"/>
            </c:ext>
          </c:extLst>
        </c:ser>
        <c:ser>
          <c:idx val="3"/>
          <c:order val="3"/>
          <c:tx>
            <c:strRef>
              <c:f>'CCC Summary'!$G$40</c:f>
              <c:strCache>
                <c:ptCount val="1"/>
                <c:pt idx="0">
                  <c:v>Strategy 4: 100% ZNZ</c:v>
                </c:pt>
              </c:strCache>
            </c:strRef>
          </c:tx>
          <c:spPr>
            <a:ln w="38100" cap="rnd">
              <a:solidFill>
                <a:srgbClr val="5E948A"/>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Summary'!$H$40:$AD$40</c:f>
              <c:numCache>
                <c:formatCode>0</c:formatCode>
                <c:ptCount val="23"/>
                <c:pt idx="0">
                  <c:v>603.6979829278705</c:v>
                </c:pt>
                <c:pt idx="1">
                  <c:v>562.98012200040466</c:v>
                </c:pt>
                <c:pt idx="2">
                  <c:v>609.44034449916285</c:v>
                </c:pt>
                <c:pt idx="3">
                  <c:v>699.27099459099963</c:v>
                </c:pt>
                <c:pt idx="4">
                  <c:v>795.40110102090284</c:v>
                </c:pt>
                <c:pt idx="5">
                  <c:v>897.83066378887315</c:v>
                </c:pt>
                <c:pt idx="6">
                  <c:v>1026.5065087999999</c:v>
                </c:pt>
                <c:pt idx="7">
                  <c:v>1172.934044000016</c:v>
                </c:pt>
                <c:pt idx="8">
                  <c:v>1297.8165500000061</c:v>
                </c:pt>
                <c:pt idx="9">
                  <c:v>1422.6990559999965</c:v>
                </c:pt>
                <c:pt idx="10">
                  <c:v>1547.5815620000271</c:v>
                </c:pt>
                <c:pt idx="11">
                  <c:v>1672.4640680000177</c:v>
                </c:pt>
                <c:pt idx="12">
                  <c:v>1797.3465740000079</c:v>
                </c:pt>
                <c:pt idx="13">
                  <c:v>1843.4527579999994</c:v>
                </c:pt>
                <c:pt idx="14">
                  <c:v>1889.558942000001</c:v>
                </c:pt>
                <c:pt idx="15">
                  <c:v>1935.6651260000028</c:v>
                </c:pt>
                <c:pt idx="16">
                  <c:v>1974.229790000001</c:v>
                </c:pt>
                <c:pt idx="17">
                  <c:v>1988.8304299999988</c:v>
                </c:pt>
                <c:pt idx="18">
                  <c:v>2003.4310699999992</c:v>
                </c:pt>
                <c:pt idx="19">
                  <c:v>2018.0317099999997</c:v>
                </c:pt>
                <c:pt idx="20">
                  <c:v>2025.1310299999998</c:v>
                </c:pt>
                <c:pt idx="21">
                  <c:v>2057.0249060000015</c:v>
                </c:pt>
                <c:pt idx="22">
                  <c:v>2091.8791100000026</c:v>
                </c:pt>
              </c:numCache>
            </c:numRef>
          </c:val>
          <c:smooth val="0"/>
          <c:extLst>
            <c:ext xmlns:c16="http://schemas.microsoft.com/office/drawing/2014/chart" uri="{C3380CC4-5D6E-409C-BE32-E72D297353CC}">
              <c16:uniqueId val="{00000003-5B68-4179-B4EA-EAD3A89C284E}"/>
            </c:ext>
          </c:extLst>
        </c:ser>
        <c:dLbls>
          <c:showLegendKey val="0"/>
          <c:showVal val="0"/>
          <c:showCatName val="0"/>
          <c:showSerName val="0"/>
          <c:showPercent val="0"/>
          <c:showBubbleSize val="0"/>
        </c:dLbls>
        <c:smooth val="0"/>
        <c:axId val="1013354928"/>
        <c:axId val="1013351568"/>
      </c:lineChart>
      <c:catAx>
        <c:axId val="101335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1568"/>
        <c:crosses val="autoZero"/>
        <c:auto val="1"/>
        <c:lblAlgn val="ctr"/>
        <c:lblOffset val="100"/>
        <c:tickLblSkip val="2"/>
        <c:tickMarkSkip val="1"/>
        <c:noMultiLvlLbl val="0"/>
      </c:catAx>
      <c:valAx>
        <c:axId val="10133515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4928"/>
        <c:crosses val="autoZero"/>
        <c:crossBetween val="between"/>
      </c:valAx>
      <c:spPr>
        <a:noFill/>
        <a:ln>
          <a:noFill/>
        </a:ln>
        <a:effectLst/>
      </c:spPr>
    </c:plotArea>
    <c:legend>
      <c:legendPos val="b"/>
      <c:layout>
        <c:manualLayout>
          <c:xMode val="edge"/>
          <c:yMode val="edge"/>
          <c:x val="0.13069251429761633"/>
          <c:y val="0.12700529582725623"/>
          <c:w val="0.29805437724158595"/>
          <c:h val="0.1836144752828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Summary'!$G$42</c:f>
          <c:strCache>
            <c:ptCount val="1"/>
            <c:pt idx="0">
              <c:v>2032 - Strategy 1: LSFO + bio-diesel (base case)</c:v>
            </c:pt>
          </c:strCache>
        </c:strRef>
      </c:tx>
      <c:layout>
        <c:manualLayout>
          <c:xMode val="edge"/>
          <c:yMode val="edge"/>
          <c:x val="9.7792882217229593E-2"/>
          <c:y val="6.17594904037603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585785727691257E-2"/>
          <c:y val="0.21001316461504427"/>
          <c:w val="0.9691768086000887"/>
          <c:h val="0.59467352065757861"/>
        </c:manualLayout>
      </c:layout>
      <c:barChart>
        <c:barDir val="col"/>
        <c:grouping val="stacked"/>
        <c:varyColors val="0"/>
        <c:ser>
          <c:idx val="1"/>
          <c:order val="0"/>
          <c:tx>
            <c:strRef>
              <c:f>'CCC Summary'!$G$43</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Summary'!$H$43</c:f>
              <c:numCache>
                <c:formatCode>0</c:formatCode>
                <c:ptCount val="1"/>
                <c:pt idx="0">
                  <c:v>540.94368932038833</c:v>
                </c:pt>
              </c:numCache>
            </c:numRef>
          </c:val>
          <c:extLst>
            <c:ext xmlns:c16="http://schemas.microsoft.com/office/drawing/2014/chart" uri="{C3380CC4-5D6E-409C-BE32-E72D297353CC}">
              <c16:uniqueId val="{00000000-9734-4394-993F-6F1AC21F52B6}"/>
            </c:ext>
          </c:extLst>
        </c:ser>
        <c:ser>
          <c:idx val="2"/>
          <c:order val="1"/>
          <c:tx>
            <c:strRef>
              <c:f>'CCC Summary'!$G$44</c:f>
              <c:strCache>
                <c:ptCount val="1"/>
                <c:pt idx="0">
                  <c:v>Tier 2 (Bio or RU2)</c:v>
                </c:pt>
              </c:strCache>
            </c:strRef>
          </c:tx>
          <c:spPr>
            <a:solidFill>
              <a:srgbClr val="FAC8C2"/>
            </a:solidFill>
            <a:ln>
              <a:noFill/>
            </a:ln>
            <a:effectLst/>
          </c:spPr>
          <c:invertIfNegative val="0"/>
          <c:dLbls>
            <c:spPr>
              <a:solidFill>
                <a:srgbClr val="FAC8C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Summary'!$H$44</c:f>
              <c:numCache>
                <c:formatCode>0</c:formatCode>
                <c:ptCount val="1"/>
                <c:pt idx="0">
                  <c:v>254.97540539033372</c:v>
                </c:pt>
              </c:numCache>
            </c:numRef>
          </c:val>
          <c:extLst>
            <c:ext xmlns:c16="http://schemas.microsoft.com/office/drawing/2014/chart" uri="{C3380CC4-5D6E-409C-BE32-E72D297353CC}">
              <c16:uniqueId val="{00000001-9734-4394-993F-6F1AC21F52B6}"/>
            </c:ext>
          </c:extLst>
        </c:ser>
        <c:ser>
          <c:idx val="4"/>
          <c:order val="2"/>
          <c:tx>
            <c:strRef>
              <c:f>'CCC Summary'!$G$45</c:f>
              <c:strCache>
                <c:ptCount val="1"/>
                <c:pt idx="0">
                  <c:v>Tier 1 (Bio or RU1)</c:v>
                </c:pt>
              </c:strCache>
            </c:strRef>
          </c:tx>
          <c:spPr>
            <a:solidFill>
              <a:srgbClr val="F8AEA6"/>
            </a:solidFill>
            <a:ln>
              <a:noFill/>
            </a:ln>
            <a:effectLst/>
          </c:spPr>
          <c:invertIfNegative val="0"/>
          <c:dLbls>
            <c:dLbl>
              <c:idx val="0"/>
              <c:layout>
                <c:manualLayout>
                  <c:x val="0.10691183264906129"/>
                  <c:y val="-2.1679280480044138E-3"/>
                </c:manualLayout>
              </c:layout>
              <c:spPr>
                <a:solidFill>
                  <a:srgbClr val="F8AEA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34-4394-993F-6F1AC21F52B6}"/>
                </c:ext>
              </c:extLst>
            </c:dLbl>
            <c:spPr>
              <a:solidFill>
                <a:srgbClr val="F8AEA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Summary'!$H$45</c:f>
              <c:numCache>
                <c:formatCode>0</c:formatCode>
                <c:ptCount val="1"/>
                <c:pt idx="0">
                  <c:v>48.758579999999959</c:v>
                </c:pt>
              </c:numCache>
            </c:numRef>
          </c:val>
          <c:extLst>
            <c:ext xmlns:c16="http://schemas.microsoft.com/office/drawing/2014/chart" uri="{C3380CC4-5D6E-409C-BE32-E72D297353CC}">
              <c16:uniqueId val="{00000003-9734-4394-993F-6F1AC21F52B6}"/>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0"/>
          <c:order val="3"/>
          <c:tx>
            <c:strRef>
              <c:f>'CCC Summary'!$G$46</c:f>
              <c:strCache>
                <c:ptCount val="1"/>
                <c:pt idx="0">
                  <c:v>Total S1</c:v>
                </c:pt>
              </c:strCache>
            </c:strRef>
          </c:tx>
          <c:spPr>
            <a:ln w="28575" cap="rnd">
              <a:solidFill>
                <a:schemeClr val="accent1"/>
              </a:solidFill>
              <a:round/>
            </a:ln>
            <a:effectLst/>
          </c:spPr>
          <c:marker>
            <c:symbol val="none"/>
          </c:marker>
          <c:val>
            <c:numRef>
              <c:f>'CCC Summary'!$H$46</c:f>
              <c:numCache>
                <c:formatCode>0</c:formatCode>
                <c:ptCount val="1"/>
                <c:pt idx="0">
                  <c:v>844.67767471072193</c:v>
                </c:pt>
              </c:numCache>
            </c:numRef>
          </c:val>
          <c:smooth val="0"/>
          <c:extLst>
            <c:ext xmlns:c16="http://schemas.microsoft.com/office/drawing/2014/chart" uri="{C3380CC4-5D6E-409C-BE32-E72D297353CC}">
              <c16:uniqueId val="{00000006-9734-4394-993F-6F1AC21F52B6}"/>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b"/>
      <c:legendEntry>
        <c:idx val="3"/>
        <c:delete val="1"/>
      </c:legendEntry>
      <c:layout>
        <c:manualLayout>
          <c:xMode val="edge"/>
          <c:yMode val="edge"/>
          <c:x val="3.5978629518064839E-2"/>
          <c:y val="0.8329009904997865"/>
          <c:w val="0.93074549586242794"/>
          <c:h val="0.162428332158440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Summary'!$J$42</c:f>
          <c:strCache>
            <c:ptCount val="1"/>
            <c:pt idx="0">
              <c:v>2032 - Strategy 2: LNG + bio-methane</c:v>
            </c:pt>
          </c:strCache>
        </c:strRef>
      </c:tx>
      <c:layout>
        <c:manualLayout>
          <c:xMode val="edge"/>
          <c:yMode val="edge"/>
          <c:x val="8.8666580505363538E-2"/>
          <c:y val="6.529947704715813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
          <c:y val="0.21441288099273259"/>
          <c:w val="0.98804358566667572"/>
          <c:h val="0.59063348353817546"/>
        </c:manualLayout>
      </c:layout>
      <c:barChart>
        <c:barDir val="col"/>
        <c:grouping val="stacked"/>
        <c:varyColors val="0"/>
        <c:ser>
          <c:idx val="3"/>
          <c:order val="0"/>
          <c:tx>
            <c:strRef>
              <c:f>'CCC Summary'!$J$46</c:f>
              <c:strCache>
                <c:ptCount val="1"/>
                <c:pt idx="0">
                  <c:v>GFS Surplus</c:v>
                </c:pt>
              </c:strCache>
            </c:strRef>
          </c:tx>
          <c:spPr>
            <a:pattFill prst="dkDnDiag">
              <a:fgClr>
                <a:schemeClr val="bg1">
                  <a:lumMod val="65000"/>
                </a:schemeClr>
              </a:fgClr>
              <a:bgClr>
                <a:schemeClr val="bg1"/>
              </a:bgClr>
            </a:pattFill>
            <a:ln>
              <a:noFill/>
            </a:ln>
            <a:effectLst/>
          </c:spPr>
          <c:invertIfNegative val="0"/>
          <c:dLbls>
            <c:dLbl>
              <c:idx val="0"/>
              <c:numFmt formatCode="\-\ #,##0" sourceLinked="0"/>
              <c:spPr>
                <a:pattFill prst="dkDnDiag">
                  <a:fgClr>
                    <a:schemeClr val="bg1">
                      <a:lumMod val="85000"/>
                    </a:schemeClr>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C2D-4911-A4F5-4BEF7AFF1EF0}"/>
                </c:ext>
              </c:extLst>
            </c:dLbl>
            <c:numFmt formatCode="\-\ #,##0" sourceLinked="0"/>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Summary'!$K$46</c:f>
              <c:numCache>
                <c:formatCode>0</c:formatCode>
                <c:ptCount val="1"/>
                <c:pt idx="0">
                  <c:v>0</c:v>
                </c:pt>
              </c:numCache>
            </c:numRef>
          </c:val>
          <c:extLst>
            <c:ext xmlns:c16="http://schemas.microsoft.com/office/drawing/2014/chart" uri="{C3380CC4-5D6E-409C-BE32-E72D297353CC}">
              <c16:uniqueId val="{00000001-AC2D-4911-A4F5-4BEF7AFF1EF0}"/>
            </c:ext>
          </c:extLst>
        </c:ser>
        <c:ser>
          <c:idx val="1"/>
          <c:order val="1"/>
          <c:tx>
            <c:strRef>
              <c:f>'CCC Summary'!$J$43</c:f>
              <c:strCache>
                <c:ptCount val="1"/>
                <c:pt idx="0">
                  <c:v>LNG fuel</c:v>
                </c:pt>
              </c:strCache>
            </c:strRef>
          </c:tx>
          <c:spPr>
            <a:solidFill>
              <a:schemeClr val="tx1">
                <a:lumMod val="50000"/>
                <a:lumOff val="50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3-AC2D-4911-A4F5-4BEF7AFF1E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Summary'!$K$43</c:f>
              <c:numCache>
                <c:formatCode>0</c:formatCode>
                <c:ptCount val="1"/>
                <c:pt idx="0">
                  <c:v>458.261278741024</c:v>
                </c:pt>
              </c:numCache>
            </c:numRef>
          </c:val>
          <c:extLst>
            <c:ext xmlns:c16="http://schemas.microsoft.com/office/drawing/2014/chart" uri="{C3380CC4-5D6E-409C-BE32-E72D297353CC}">
              <c16:uniqueId val="{00000004-AC2D-4911-A4F5-4BEF7AFF1EF0}"/>
            </c:ext>
          </c:extLst>
        </c:ser>
        <c:ser>
          <c:idx val="2"/>
          <c:order val="2"/>
          <c:tx>
            <c:strRef>
              <c:f>'CCC Summary'!$J$44</c:f>
              <c:strCache>
                <c:ptCount val="1"/>
                <c:pt idx="0">
                  <c:v>Tier 2 (Bio-methane or RU2)</c:v>
                </c:pt>
              </c:strCache>
            </c:strRef>
          </c:tx>
          <c:spPr>
            <a:solidFill>
              <a:srgbClr val="C28080"/>
            </a:solidFill>
            <a:ln>
              <a:noFill/>
            </a:ln>
            <a:effectLst/>
          </c:spPr>
          <c:invertIfNegative val="0"/>
          <c:dLbls>
            <c:spPr>
              <a:solidFill>
                <a:srgbClr val="C2808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Summary'!$K$44</c:f>
              <c:numCache>
                <c:formatCode>0</c:formatCode>
                <c:ptCount val="1"/>
                <c:pt idx="0">
                  <c:v>0</c:v>
                </c:pt>
              </c:numCache>
            </c:numRef>
          </c:val>
          <c:extLst>
            <c:ext xmlns:c16="http://schemas.microsoft.com/office/drawing/2014/chart" uri="{C3380CC4-5D6E-409C-BE32-E72D297353CC}">
              <c16:uniqueId val="{00000005-AC2D-4911-A4F5-4BEF7AFF1EF0}"/>
            </c:ext>
          </c:extLst>
        </c:ser>
        <c:ser>
          <c:idx val="5"/>
          <c:order val="3"/>
          <c:tx>
            <c:strRef>
              <c:f>'CCC Summary'!$J$45</c:f>
              <c:strCache>
                <c:ptCount val="1"/>
                <c:pt idx="0">
                  <c:v>Tier 2 (Bio-methane or RU1)</c:v>
                </c:pt>
              </c:strCache>
            </c:strRef>
          </c:tx>
          <c:spPr>
            <a:solidFill>
              <a:srgbClr val="B15B5B"/>
            </a:solidFill>
            <a:ln>
              <a:noFill/>
            </a:ln>
            <a:effectLst/>
          </c:spPr>
          <c:invertIfNegative val="0"/>
          <c:dLbls>
            <c:dLbl>
              <c:idx val="0"/>
              <c:layout>
                <c:manualLayout>
                  <c:x val="0.11175304337305003"/>
                  <c:y val="-4.30308927927659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FD-4DC5-94E0-9B115DBAD62B}"/>
                </c:ext>
              </c:extLst>
            </c:dLbl>
            <c:spPr>
              <a:solidFill>
                <a:srgbClr val="B15B5B"/>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Summary'!$K$45</c:f>
              <c:numCache>
                <c:formatCode>0</c:formatCode>
                <c:ptCount val="1"/>
                <c:pt idx="0">
                  <c:v>46.922525399999984</c:v>
                </c:pt>
              </c:numCache>
            </c:numRef>
          </c:val>
          <c:extLst>
            <c:ext xmlns:c16="http://schemas.microsoft.com/office/drawing/2014/chart" uri="{C3380CC4-5D6E-409C-BE32-E72D297353CC}">
              <c16:uniqueId val="{00000006-AC2D-4911-A4F5-4BEF7AFF1EF0}"/>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Summary'!$J$47</c:f>
              <c:strCache>
                <c:ptCount val="1"/>
                <c:pt idx="0">
                  <c:v>Total S2</c:v>
                </c:pt>
              </c:strCache>
            </c:strRef>
          </c:tx>
          <c:spPr>
            <a:ln w="28575" cap="rnd">
              <a:solidFill>
                <a:schemeClr val="accent5"/>
              </a:solidFill>
              <a:round/>
            </a:ln>
            <a:effectLst/>
          </c:spPr>
          <c:marker>
            <c:symbol val="none"/>
          </c:marker>
          <c:dLbls>
            <c:delete val="1"/>
          </c:dLbls>
          <c:val>
            <c:numRef>
              <c:f>'CCC Summary'!$K$47</c:f>
              <c:numCache>
                <c:formatCode>0</c:formatCode>
                <c:ptCount val="1"/>
                <c:pt idx="0">
                  <c:v>505.18380414102398</c:v>
                </c:pt>
              </c:numCache>
            </c:numRef>
          </c:val>
          <c:smooth val="0"/>
          <c:extLst>
            <c:ext xmlns:c16="http://schemas.microsoft.com/office/drawing/2014/chart" uri="{C3380CC4-5D6E-409C-BE32-E72D297353CC}">
              <c16:uniqueId val="{00000008-AC2D-4911-A4F5-4BEF7AFF1EF0}"/>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4.4888770091789125E-3"/>
          <c:y val="0.81454502580543908"/>
          <c:w val="0.99551112299082112"/>
          <c:h val="0.183035952378412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Summary'!$M$42</c:f>
          <c:strCache>
            <c:ptCount val="1"/>
            <c:pt idx="0">
              <c:v>2032 - Strategy 3: LSFO + ZNZ</c:v>
            </c:pt>
          </c:strCache>
        </c:strRef>
      </c:tx>
      <c:layout>
        <c:manualLayout>
          <c:xMode val="edge"/>
          <c:yMode val="edge"/>
          <c:x val="0.12297426550432018"/>
          <c:y val="6.09630331178447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3793610090441258E-3"/>
          <c:y val="0.21480632052051024"/>
          <c:w val="0.98804358566667572"/>
          <c:h val="0.59109023766367952"/>
        </c:manualLayout>
      </c:layout>
      <c:barChart>
        <c:barDir val="col"/>
        <c:grouping val="stacked"/>
        <c:varyColors val="0"/>
        <c:ser>
          <c:idx val="3"/>
          <c:order val="0"/>
          <c:tx>
            <c:strRef>
              <c:f>'CCC Summary'!$M$46</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1-009D-4ED4-B0F3-86CEE7A2EB77}"/>
              </c:ext>
            </c:extLst>
          </c:dPt>
          <c:dLbls>
            <c:dLbl>
              <c:idx val="0"/>
              <c:layout>
                <c:manualLayout>
                  <c:x val="0"/>
                  <c:y val="-1.2110028476684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9D-4ED4-B0F3-86CEE7A2EB77}"/>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Summary'!$N$46</c:f>
              <c:numCache>
                <c:formatCode>0</c:formatCode>
                <c:ptCount val="1"/>
                <c:pt idx="0">
                  <c:v>11.698752750000049</c:v>
                </c:pt>
              </c:numCache>
            </c:numRef>
          </c:val>
          <c:extLst>
            <c:ext xmlns:c16="http://schemas.microsoft.com/office/drawing/2014/chart" uri="{C3380CC4-5D6E-409C-BE32-E72D297353CC}">
              <c16:uniqueId val="{00000002-009D-4ED4-B0F3-86CEE7A2EB77}"/>
            </c:ext>
          </c:extLst>
        </c:ser>
        <c:ser>
          <c:idx val="1"/>
          <c:order val="1"/>
          <c:tx>
            <c:strRef>
              <c:f>'CCC Summary'!$M$43</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Summary'!$N$43</c:f>
              <c:numCache>
                <c:formatCode>0</c:formatCode>
                <c:ptCount val="1"/>
                <c:pt idx="0">
                  <c:v>540.94368932038833</c:v>
                </c:pt>
              </c:numCache>
            </c:numRef>
          </c:val>
          <c:extLst>
            <c:ext xmlns:c16="http://schemas.microsoft.com/office/drawing/2014/chart" uri="{C3380CC4-5D6E-409C-BE32-E72D297353CC}">
              <c16:uniqueId val="{00000003-009D-4ED4-B0F3-86CEE7A2EB77}"/>
            </c:ext>
          </c:extLst>
        </c:ser>
        <c:ser>
          <c:idx val="2"/>
          <c:order val="2"/>
          <c:tx>
            <c:strRef>
              <c:f>'CCC Summary'!$M$44</c:f>
              <c:strCache>
                <c:ptCount val="1"/>
                <c:pt idx="0">
                  <c:v>Tier 2 (ZNZ or RU2)</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Summary'!$N$44</c:f>
              <c:numCache>
                <c:formatCode>0</c:formatCode>
                <c:ptCount val="1"/>
                <c:pt idx="0">
                  <c:v>275.00634276000022</c:v>
                </c:pt>
              </c:numCache>
            </c:numRef>
          </c:val>
          <c:extLst>
            <c:ext xmlns:c16="http://schemas.microsoft.com/office/drawing/2014/chart" uri="{C3380CC4-5D6E-409C-BE32-E72D297353CC}">
              <c16:uniqueId val="{00000004-009D-4ED4-B0F3-86CEE7A2EB77}"/>
            </c:ext>
          </c:extLst>
        </c:ser>
        <c:ser>
          <c:idx val="5"/>
          <c:order val="3"/>
          <c:tx>
            <c:strRef>
              <c:f>'CCC Summary'!$M$45</c:f>
              <c:strCache>
                <c:ptCount val="1"/>
                <c:pt idx="0">
                  <c:v>Tier 1 (ZNZ or RU1)</c:v>
                </c:pt>
              </c:strCache>
            </c:strRef>
          </c:tx>
          <c:spPr>
            <a:solidFill>
              <a:srgbClr val="3F635C"/>
            </a:solidFill>
            <a:ln>
              <a:noFill/>
            </a:ln>
            <a:effectLst/>
          </c:spPr>
          <c:invertIfNegative val="0"/>
          <c:dLbls>
            <c:dLbl>
              <c:idx val="0"/>
              <c:layout>
                <c:manualLayout>
                  <c:x val="8.917720734904451E-2"/>
                  <c:y val="-4.32897407915989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9D-4ED4-B0F3-86CEE7A2EB77}"/>
                </c:ext>
              </c:extLst>
            </c:dLbl>
            <c:spPr>
              <a:solidFill>
                <a:srgbClr val="3F635C"/>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Summary'!$N$45</c:f>
              <c:numCache>
                <c:formatCode>0</c:formatCode>
                <c:ptCount val="1"/>
                <c:pt idx="0">
                  <c:v>48.758579999999959</c:v>
                </c:pt>
              </c:numCache>
            </c:numRef>
          </c:val>
          <c:extLst>
            <c:ext xmlns:c16="http://schemas.microsoft.com/office/drawing/2014/chart" uri="{C3380CC4-5D6E-409C-BE32-E72D297353CC}">
              <c16:uniqueId val="{00000006-009D-4ED4-B0F3-86CEE7A2EB77}"/>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Summary'!$M$47</c:f>
              <c:strCache>
                <c:ptCount val="1"/>
                <c:pt idx="0">
                  <c:v>Total S3</c:v>
                </c:pt>
              </c:strCache>
            </c:strRef>
          </c:tx>
          <c:spPr>
            <a:ln w="28575" cap="rnd">
              <a:solidFill>
                <a:schemeClr val="accent5"/>
              </a:solidFill>
              <a:round/>
            </a:ln>
            <a:effectLst/>
          </c:spPr>
          <c:marker>
            <c:symbol val="none"/>
          </c:marker>
          <c:dLbls>
            <c:delete val="1"/>
          </c:dLbls>
          <c:val>
            <c:numRef>
              <c:f>'CCC Summary'!$N$47</c:f>
              <c:numCache>
                <c:formatCode>0</c:formatCode>
                <c:ptCount val="1"/>
                <c:pt idx="0">
                  <c:v>876.40736483038859</c:v>
                </c:pt>
              </c:numCache>
            </c:numRef>
          </c:val>
          <c:smooth val="0"/>
          <c:extLst>
            <c:ext xmlns:c16="http://schemas.microsoft.com/office/drawing/2014/chart" uri="{C3380CC4-5D6E-409C-BE32-E72D297353CC}">
              <c16:uniqueId val="{00000009-009D-4ED4-B0F3-86CEE7A2EB77}"/>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2.5486731346773067E-2"/>
          <c:y val="0.82920374349420989"/>
          <c:w val="0.89807255070552805"/>
          <c:h val="0.170796256505790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Summary'!$P$42</c:f>
          <c:strCache>
            <c:ptCount val="1"/>
            <c:pt idx="0">
              <c:v>2032 - Strategy 4: 100% ZNZ</c:v>
            </c:pt>
          </c:strCache>
        </c:strRef>
      </c:tx>
      <c:layout>
        <c:manualLayout>
          <c:xMode val="edge"/>
          <c:yMode val="edge"/>
          <c:x val="0.11017319795182362"/>
          <c:y val="6.143213172769520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802736976220594E-2"/>
          <c:y val="0.21674797551822098"/>
          <c:w val="0.96147227930445311"/>
          <c:h val="0.59055167139169773"/>
        </c:manualLayout>
      </c:layout>
      <c:barChart>
        <c:barDir val="col"/>
        <c:grouping val="stacked"/>
        <c:varyColors val="0"/>
        <c:ser>
          <c:idx val="2"/>
          <c:order val="0"/>
          <c:tx>
            <c:strRef>
              <c:f>'CCC Summary'!$P$44</c:f>
              <c:strCache>
                <c:ptCount val="1"/>
                <c:pt idx="0">
                  <c:v>ZNZ fuel (after rewards and surplus)</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Summary'!$Q$44</c:f>
              <c:numCache>
                <c:formatCode>0</c:formatCode>
                <c:ptCount val="1"/>
                <c:pt idx="0">
                  <c:v>795.40110102090284</c:v>
                </c:pt>
              </c:numCache>
            </c:numRef>
          </c:val>
          <c:extLst>
            <c:ext xmlns:c16="http://schemas.microsoft.com/office/drawing/2014/chart" uri="{C3380CC4-5D6E-409C-BE32-E72D297353CC}">
              <c16:uniqueId val="{00000000-EFA2-42F9-BEC9-DBD0089BFF9A}"/>
            </c:ext>
          </c:extLst>
        </c:ser>
        <c:ser>
          <c:idx val="3"/>
          <c:order val="1"/>
          <c:tx>
            <c:strRef>
              <c:f>'CCC Summary'!$P$45</c:f>
              <c:strCache>
                <c:ptCount val="1"/>
                <c:pt idx="0">
                  <c:v>Tier 2 RU2</c:v>
                </c:pt>
              </c:strCache>
            </c:strRef>
          </c:tx>
          <c:spPr>
            <a:solidFill>
              <a:srgbClr val="B15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Summary'!$Q$45</c:f>
              <c:numCache>
                <c:formatCode>0</c:formatCode>
                <c:ptCount val="1"/>
                <c:pt idx="0">
                  <c:v>0</c:v>
                </c:pt>
              </c:numCache>
            </c:numRef>
          </c:val>
          <c:extLst>
            <c:ext xmlns:c16="http://schemas.microsoft.com/office/drawing/2014/chart" uri="{C3380CC4-5D6E-409C-BE32-E72D297353CC}">
              <c16:uniqueId val="{00000001-EFA2-42F9-BEC9-DBD0089BFF9A}"/>
            </c:ext>
          </c:extLst>
        </c:ser>
        <c:ser>
          <c:idx val="6"/>
          <c:order val="3"/>
          <c:tx>
            <c:strRef>
              <c:f>'CCC Summary'!$P$46</c:f>
              <c:strCache>
                <c:ptCount val="1"/>
                <c:pt idx="0">
                  <c:v>Tier 1 RU1</c:v>
                </c:pt>
              </c:strCache>
            </c:strRef>
          </c:tx>
          <c:spPr>
            <a:solidFill>
              <a:srgbClr val="4C7870"/>
            </a:solidFill>
            <a:ln>
              <a:noFill/>
            </a:ln>
            <a:effectLst/>
          </c:spPr>
          <c:invertIfNegative val="0"/>
          <c:val>
            <c:numRef>
              <c:f>'CCC Summary'!$Q$46</c:f>
              <c:numCache>
                <c:formatCode>0</c:formatCode>
                <c:ptCount val="1"/>
                <c:pt idx="0">
                  <c:v>0</c:v>
                </c:pt>
              </c:numCache>
            </c:numRef>
          </c:val>
          <c:extLst>
            <c:ext xmlns:c16="http://schemas.microsoft.com/office/drawing/2014/chart" uri="{C3380CC4-5D6E-409C-BE32-E72D297353CC}">
              <c16:uniqueId val="{00000004-0880-43B6-BBE0-93C3CC9A0D12}"/>
            </c:ext>
          </c:extLst>
        </c:ser>
        <c:ser>
          <c:idx val="1"/>
          <c:order val="4"/>
          <c:tx>
            <c:strRef>
              <c:f>'CCC Summary'!$P$47</c:f>
              <c:strCache>
                <c:ptCount val="1"/>
                <c:pt idx="0">
                  <c:v>GFS Surplus</c:v>
                </c:pt>
              </c:strCache>
            </c:strRef>
          </c:tx>
          <c:spPr>
            <a:pattFill prst="wdDnDiag">
              <a:fgClr>
                <a:srgbClr val="5E948A"/>
              </a:fgClr>
              <a:bgClr>
                <a:schemeClr val="bg1"/>
              </a:bgClr>
            </a:pattFill>
            <a:ln>
              <a:noFill/>
            </a:ln>
            <a:effectLst/>
          </c:spPr>
          <c:invertIfNegative val="0"/>
          <c:dLbls>
            <c:numFmt formatCode="\-\ #,##0" sourceLinked="0"/>
            <c:spPr>
              <a:pattFill prst="wdDnDiag">
                <a:fgClr>
                  <a:srgbClr val="C2D8D4"/>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Summary'!$Q$47</c:f>
              <c:numCache>
                <c:formatCode>0</c:formatCode>
                <c:ptCount val="1"/>
                <c:pt idx="0">
                  <c:v>786.01639897909683</c:v>
                </c:pt>
              </c:numCache>
            </c:numRef>
          </c:val>
          <c:extLst>
            <c:ext xmlns:c16="http://schemas.microsoft.com/office/drawing/2014/chart" uri="{C3380CC4-5D6E-409C-BE32-E72D297353CC}">
              <c16:uniqueId val="{00000003-EFA2-42F9-BEC9-DBD0089BFF9A}"/>
            </c:ext>
          </c:extLst>
        </c:ser>
        <c:ser>
          <c:idx val="0"/>
          <c:order val="5"/>
          <c:tx>
            <c:strRef>
              <c:f>'CCC Summary'!$P$48</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5-EFA2-42F9-BEC9-DBD0089BFF9A}"/>
              </c:ext>
            </c:extLst>
          </c:dPt>
          <c:dLbls>
            <c:dLbl>
              <c:idx val="0"/>
              <c:dLblPos val="inBase"/>
              <c:showLegendKey val="0"/>
              <c:showVal val="1"/>
              <c:showCatName val="0"/>
              <c:showSerName val="0"/>
              <c:showPercent val="0"/>
              <c:showBubbleSize val="0"/>
              <c:extLst>
                <c:ext xmlns:c15="http://schemas.microsoft.com/office/drawing/2012/chart" uri="{CE6537A1-D6FC-4f65-9D91-7224C49458BB}">
                  <c15:layout>
                    <c:manualLayout>
                      <c:w val="0.2222638593349788"/>
                      <c:h val="5.8865917933092898E-2"/>
                    </c:manualLayout>
                  </c15:layout>
                </c:ext>
                <c:ext xmlns:c16="http://schemas.microsoft.com/office/drawing/2014/chart" uri="{C3380CC4-5D6E-409C-BE32-E72D297353CC}">
                  <c16:uniqueId val="{00000005-EFA2-42F9-BEC9-DBD0089BFF9A}"/>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Summary'!$Q$48</c:f>
              <c:numCache>
                <c:formatCode>0</c:formatCode>
                <c:ptCount val="1"/>
                <c:pt idx="0">
                  <c:v>418.58249999999998</c:v>
                </c:pt>
              </c:numCache>
            </c:numRef>
          </c:val>
          <c:extLst>
            <c:ext xmlns:c16="http://schemas.microsoft.com/office/drawing/2014/chart" uri="{C3380CC4-5D6E-409C-BE32-E72D297353CC}">
              <c16:uniqueId val="{00000006-EFA2-42F9-BEC9-DBD0089BFF9A}"/>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5"/>
          <c:order val="2"/>
          <c:tx>
            <c:strRef>
              <c:f>'CCC Summary'!$P$49</c:f>
              <c:strCache>
                <c:ptCount val="1"/>
                <c:pt idx="0">
                  <c:v>Total S4</c:v>
                </c:pt>
              </c:strCache>
            </c:strRef>
          </c:tx>
          <c:spPr>
            <a:ln w="28575" cap="rnd">
              <a:solidFill>
                <a:schemeClr val="accent6"/>
              </a:solidFill>
              <a:round/>
            </a:ln>
            <a:effectLst/>
          </c:spPr>
          <c:marker>
            <c:symbol val="none"/>
          </c:marker>
          <c:dPt>
            <c:idx val="0"/>
            <c:marker>
              <c:symbol val="none"/>
            </c:marker>
            <c:bubble3D val="0"/>
            <c:spPr>
              <a:ln w="28575" cap="rnd">
                <a:solidFill>
                  <a:schemeClr val="accent6"/>
                </a:solidFill>
                <a:round/>
              </a:ln>
              <a:effectLst/>
            </c:spPr>
            <c:extLst>
              <c:ext xmlns:c16="http://schemas.microsoft.com/office/drawing/2014/chart" uri="{C3380CC4-5D6E-409C-BE32-E72D297353CC}">
                <c16:uniqueId val="{00000008-EFA2-42F9-BEC9-DBD0089BFF9A}"/>
              </c:ext>
            </c:extLst>
          </c:dPt>
          <c:val>
            <c:numRef>
              <c:f>'CCC Summary'!$Q$49</c:f>
              <c:numCache>
                <c:formatCode>0</c:formatCode>
                <c:ptCount val="1"/>
                <c:pt idx="0">
                  <c:v>795.40110102090284</c:v>
                </c:pt>
              </c:numCache>
            </c:numRef>
          </c:val>
          <c:smooth val="0"/>
          <c:extLst>
            <c:ext xmlns:c16="http://schemas.microsoft.com/office/drawing/2014/chart" uri="{C3380CC4-5D6E-409C-BE32-E72D297353CC}">
              <c16:uniqueId val="{00000009-EFA2-42F9-BEC9-DBD0089BFF9A}"/>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5"/>
        <c:delete val="1"/>
      </c:legendEntry>
      <c:layout>
        <c:manualLayout>
          <c:xMode val="edge"/>
          <c:yMode val="edge"/>
          <c:x val="2.5486731346773067E-2"/>
          <c:y val="0.7895801407464792"/>
          <c:w val="0.97451339310792273"/>
          <c:h val="0.210419859253520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kern="1200" spc="0" baseline="0" dirty="0">
                <a:solidFill>
                  <a:sysClr val="windowText" lastClr="000000">
                    <a:lumMod val="65000"/>
                    <a:lumOff val="35000"/>
                  </a:sysClr>
                </a:solidFill>
              </a:rPr>
              <a:t>GHG Fuel Intensity (GFI) Reduction Factors (Z-Factors)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543647085745564E-2"/>
          <c:y val="8.1105104080246196E-2"/>
          <c:w val="0.93042646473898938"/>
          <c:h val="0.74775500397839345"/>
        </c:manualLayout>
      </c:layout>
      <c:barChart>
        <c:barDir val="col"/>
        <c:grouping val="stacked"/>
        <c:varyColors val="0"/>
        <c:ser>
          <c:idx val="0"/>
          <c:order val="0"/>
          <c:tx>
            <c:strRef>
              <c:f>'IMO GFI'!$G$4</c:f>
              <c:strCache>
                <c:ptCount val="1"/>
                <c:pt idx="0">
                  <c:v>Over-compliant</c:v>
                </c:pt>
              </c:strCache>
            </c:strRef>
          </c:tx>
          <c:spPr>
            <a:solidFill>
              <a:srgbClr val="DCF0D6"/>
            </a:solidFill>
            <a:ln>
              <a:noFill/>
            </a:ln>
            <a:effectLst/>
          </c:spPr>
          <c:invertIfNegative val="0"/>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GFI'!$G$6:$G$29</c:f>
              <c:numCache>
                <c:formatCode>0.00</c:formatCode>
                <c:ptCount val="24"/>
                <c:pt idx="0">
                  <c:v>93.3</c:v>
                </c:pt>
                <c:pt idx="1">
                  <c:v>77.438999999999993</c:v>
                </c:pt>
                <c:pt idx="2">
                  <c:v>75.572999999999993</c:v>
                </c:pt>
                <c:pt idx="3">
                  <c:v>73.707000000000008</c:v>
                </c:pt>
                <c:pt idx="4">
                  <c:v>69.601799999999997</c:v>
                </c:pt>
                <c:pt idx="5">
                  <c:v>65.496600000000001</c:v>
                </c:pt>
                <c:pt idx="6">
                  <c:v>61.391400000000004</c:v>
                </c:pt>
                <c:pt idx="7">
                  <c:v>57.286199999999994</c:v>
                </c:pt>
                <c:pt idx="8">
                  <c:v>53.180999999998939</c:v>
                </c:pt>
                <c:pt idx="9">
                  <c:v>46.649999999999572</c:v>
                </c:pt>
                <c:pt idx="10">
                  <c:v>40.119000000000213</c:v>
                </c:pt>
                <c:pt idx="11">
                  <c:v>33.587999999998196</c:v>
                </c:pt>
                <c:pt idx="12">
                  <c:v>27.056999999998833</c:v>
                </c:pt>
                <c:pt idx="13">
                  <c:v>20.525999999999467</c:v>
                </c:pt>
                <c:pt idx="14">
                  <c:v>17.727000000000025</c:v>
                </c:pt>
                <c:pt idx="15">
                  <c:v>14.927999999999919</c:v>
                </c:pt>
                <c:pt idx="16">
                  <c:v>12.128999999999813</c:v>
                </c:pt>
                <c:pt idx="17">
                  <c:v>9.329999999999707</c:v>
                </c:pt>
                <c:pt idx="18">
                  <c:v>6.5310000000002644</c:v>
                </c:pt>
                <c:pt idx="19">
                  <c:v>3.7320000000001587</c:v>
                </c:pt>
                <c:pt idx="20">
                  <c:v>0.93300000000005257</c:v>
                </c:pt>
                <c:pt idx="21">
                  <c:v>0</c:v>
                </c:pt>
                <c:pt idx="22">
                  <c:v>0</c:v>
                </c:pt>
                <c:pt idx="23">
                  <c:v>0</c:v>
                </c:pt>
              </c:numCache>
            </c:numRef>
          </c:val>
          <c:extLst>
            <c:ext xmlns:c16="http://schemas.microsoft.com/office/drawing/2014/chart" uri="{C3380CC4-5D6E-409C-BE32-E72D297353CC}">
              <c16:uniqueId val="{00000000-FA5C-4B1E-93C3-782328F82806}"/>
            </c:ext>
          </c:extLst>
        </c:ser>
        <c:ser>
          <c:idx val="1"/>
          <c:order val="1"/>
          <c:tx>
            <c:strRef>
              <c:f>'IMO GFI'!$H$4</c:f>
              <c:strCache>
                <c:ptCount val="1"/>
                <c:pt idx="0">
                  <c:v>Tier 1 Range</c:v>
                </c:pt>
              </c:strCache>
            </c:strRef>
          </c:tx>
          <c:spPr>
            <a:solidFill>
              <a:srgbClr val="FCEEC8"/>
            </a:solidFill>
            <a:ln>
              <a:noFill/>
            </a:ln>
            <a:effectLst/>
          </c:spPr>
          <c:invertIfNegative val="0"/>
          <c:dLbls>
            <c:dLbl>
              <c:idx val="0"/>
              <c:layout>
                <c:manualLayout>
                  <c:x val="0"/>
                  <c:y val="7.5206717581354943E-2"/>
                </c:manualLayout>
              </c:layout>
              <c:tx>
                <c:rich>
                  <a:bodyPr/>
                  <a:lstStyle/>
                  <a:p>
                    <a:fld id="{AC531E6A-D94B-4ACD-8BBC-CA5A0B6C4BE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A5C-4B1E-93C3-782328F82806}"/>
                </c:ext>
              </c:extLst>
            </c:dLbl>
            <c:dLbl>
              <c:idx val="1"/>
              <c:tx>
                <c:rich>
                  <a:bodyPr/>
                  <a:lstStyle/>
                  <a:p>
                    <a:fld id="{3C6DE598-4FA5-47D6-95F9-4BA7720CB5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5C-4B1E-93C3-782328F82806}"/>
                </c:ext>
              </c:extLst>
            </c:dLbl>
            <c:dLbl>
              <c:idx val="2"/>
              <c:tx>
                <c:rich>
                  <a:bodyPr/>
                  <a:lstStyle/>
                  <a:p>
                    <a:fld id="{A9C4EAE6-313D-4FD2-BCB9-4752CFB992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5C-4B1E-93C3-782328F82806}"/>
                </c:ext>
              </c:extLst>
            </c:dLbl>
            <c:dLbl>
              <c:idx val="3"/>
              <c:tx>
                <c:rich>
                  <a:bodyPr/>
                  <a:lstStyle/>
                  <a:p>
                    <a:fld id="{42B67185-952B-4FA5-AD29-72BF136EA0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5C-4B1E-93C3-782328F82806}"/>
                </c:ext>
              </c:extLst>
            </c:dLbl>
            <c:dLbl>
              <c:idx val="4"/>
              <c:tx>
                <c:rich>
                  <a:bodyPr/>
                  <a:lstStyle/>
                  <a:p>
                    <a:fld id="{86C028F9-E329-4625-A3CD-9B44E0EB7D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C-4B1E-93C3-782328F82806}"/>
                </c:ext>
              </c:extLst>
            </c:dLbl>
            <c:dLbl>
              <c:idx val="5"/>
              <c:tx>
                <c:rich>
                  <a:bodyPr/>
                  <a:lstStyle/>
                  <a:p>
                    <a:fld id="{C5FED96A-C5D4-4438-B3AC-E2E46B89A5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5C-4B1E-93C3-782328F82806}"/>
                </c:ext>
              </c:extLst>
            </c:dLbl>
            <c:dLbl>
              <c:idx val="6"/>
              <c:tx>
                <c:rich>
                  <a:bodyPr/>
                  <a:lstStyle/>
                  <a:p>
                    <a:fld id="{1ECBCCAA-F37F-4D92-8A08-87285A1678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5C-4B1E-93C3-782328F82806}"/>
                </c:ext>
              </c:extLst>
            </c:dLbl>
            <c:dLbl>
              <c:idx val="7"/>
              <c:tx>
                <c:rich>
                  <a:bodyPr/>
                  <a:lstStyle/>
                  <a:p>
                    <a:fld id="{5F9F7DD2-E4D3-42FD-9F27-8DC6896BB1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5C-4B1E-93C3-782328F82806}"/>
                </c:ext>
              </c:extLst>
            </c:dLbl>
            <c:dLbl>
              <c:idx val="8"/>
              <c:tx>
                <c:rich>
                  <a:bodyPr/>
                  <a:lstStyle/>
                  <a:p>
                    <a:fld id="{59757841-E15A-4EF2-A58C-54A5DDCB49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5C-4B1E-93C3-782328F82806}"/>
                </c:ext>
              </c:extLst>
            </c:dLbl>
            <c:dLbl>
              <c:idx val="9"/>
              <c:tx>
                <c:rich>
                  <a:bodyPr/>
                  <a:lstStyle/>
                  <a:p>
                    <a:fld id="{912335A6-9922-4A1E-A823-7A0F5F6D78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5C-4B1E-93C3-782328F82806}"/>
                </c:ext>
              </c:extLst>
            </c:dLbl>
            <c:dLbl>
              <c:idx val="10"/>
              <c:tx>
                <c:rich>
                  <a:bodyPr/>
                  <a:lstStyle/>
                  <a:p>
                    <a:fld id="{77B3EE91-E080-4EBD-A47E-06BFC96B3D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5C-4B1E-93C3-782328F82806}"/>
                </c:ext>
              </c:extLst>
            </c:dLbl>
            <c:dLbl>
              <c:idx val="11"/>
              <c:tx>
                <c:rich>
                  <a:bodyPr/>
                  <a:lstStyle/>
                  <a:p>
                    <a:fld id="{657D8B34-1E36-47D2-A028-952A9CF2E9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5C-4B1E-93C3-782328F82806}"/>
                </c:ext>
              </c:extLst>
            </c:dLbl>
            <c:dLbl>
              <c:idx val="12"/>
              <c:tx>
                <c:rich>
                  <a:bodyPr/>
                  <a:lstStyle/>
                  <a:p>
                    <a:fld id="{CE995E4E-6C37-4289-830F-514525B5C0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5C-4B1E-93C3-782328F82806}"/>
                </c:ext>
              </c:extLst>
            </c:dLbl>
            <c:dLbl>
              <c:idx val="13"/>
              <c:tx>
                <c:rich>
                  <a:bodyPr/>
                  <a:lstStyle/>
                  <a:p>
                    <a:fld id="{BF2ECB68-120E-4F2D-B4E0-DF71E2A713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5C-4B1E-93C3-782328F82806}"/>
                </c:ext>
              </c:extLst>
            </c:dLbl>
            <c:dLbl>
              <c:idx val="14"/>
              <c:tx>
                <c:rich>
                  <a:bodyPr/>
                  <a:lstStyle/>
                  <a:p>
                    <a:fld id="{5C27D4F9-F5EC-4EE6-999D-1DB6F60311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5C-4B1E-93C3-782328F82806}"/>
                </c:ext>
              </c:extLst>
            </c:dLbl>
            <c:dLbl>
              <c:idx val="15"/>
              <c:tx>
                <c:rich>
                  <a:bodyPr/>
                  <a:lstStyle/>
                  <a:p>
                    <a:fld id="{CDC7D3A6-9BC4-4B8A-8F9F-C2815AC01E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5C-4B1E-93C3-782328F82806}"/>
                </c:ext>
              </c:extLst>
            </c:dLbl>
            <c:dLbl>
              <c:idx val="16"/>
              <c:tx>
                <c:rich>
                  <a:bodyPr/>
                  <a:lstStyle/>
                  <a:p>
                    <a:fld id="{AADFF395-E0C3-4BCE-B24A-36B018B155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5C-4B1E-93C3-782328F82806}"/>
                </c:ext>
              </c:extLst>
            </c:dLbl>
            <c:dLbl>
              <c:idx val="17"/>
              <c:tx>
                <c:rich>
                  <a:bodyPr/>
                  <a:lstStyle/>
                  <a:p>
                    <a:fld id="{5B988FDE-CB4F-4B6E-AC0D-AB4D3CB964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A5C-4B1E-93C3-782328F82806}"/>
                </c:ext>
              </c:extLst>
            </c:dLbl>
            <c:dLbl>
              <c:idx val="18"/>
              <c:tx>
                <c:rich>
                  <a:bodyPr/>
                  <a:lstStyle/>
                  <a:p>
                    <a:fld id="{495DF087-C915-4B20-A83D-C67D87BF1E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A5C-4B1E-93C3-782328F82806}"/>
                </c:ext>
              </c:extLst>
            </c:dLbl>
            <c:dLbl>
              <c:idx val="19"/>
              <c:tx>
                <c:rich>
                  <a:bodyPr/>
                  <a:lstStyle/>
                  <a:p>
                    <a:fld id="{5558F99F-8DAC-48FF-9180-373C48D22D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A5C-4B1E-93C3-782328F82806}"/>
                </c:ext>
              </c:extLst>
            </c:dLbl>
            <c:dLbl>
              <c:idx val="20"/>
              <c:tx>
                <c:rich>
                  <a:bodyPr/>
                  <a:lstStyle/>
                  <a:p>
                    <a:fld id="{ADC325E8-7DC4-4E9C-9FE8-8C9E3BCC5B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A5C-4B1E-93C3-782328F82806}"/>
                </c:ext>
              </c:extLst>
            </c:dLbl>
            <c:dLbl>
              <c:idx val="21"/>
              <c:tx>
                <c:rich>
                  <a:bodyPr/>
                  <a:lstStyle/>
                  <a:p>
                    <a:fld id="{BBE99D43-1299-4653-8C17-A0E07AC3E9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A5C-4B1E-93C3-782328F82806}"/>
                </c:ext>
              </c:extLst>
            </c:dLbl>
            <c:dLbl>
              <c:idx val="22"/>
              <c:tx>
                <c:rich>
                  <a:bodyPr/>
                  <a:lstStyle/>
                  <a:p>
                    <a:fld id="{9AECF44D-FBB7-469B-B693-30151E0706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A5C-4B1E-93C3-782328F82806}"/>
                </c:ext>
              </c:extLst>
            </c:dLbl>
            <c:dLbl>
              <c:idx val="23"/>
              <c:tx>
                <c:rich>
                  <a:bodyPr/>
                  <a:lstStyle/>
                  <a:p>
                    <a:fld id="{DD896670-EB60-44BE-BDBD-551C8C5ADC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GFI'!$H$6:$H$29</c:f>
              <c:numCache>
                <c:formatCode>0.00</c:formatCode>
                <c:ptCount val="24"/>
                <c:pt idx="0">
                  <c:v>0</c:v>
                </c:pt>
                <c:pt idx="1">
                  <c:v>12.129000000000005</c:v>
                </c:pt>
                <c:pt idx="2">
                  <c:v>12.129000000000005</c:v>
                </c:pt>
                <c:pt idx="3">
                  <c:v>12.128999999999991</c:v>
                </c:pt>
                <c:pt idx="4">
                  <c:v>12.129000000000005</c:v>
                </c:pt>
                <c:pt idx="5">
                  <c:v>12.128999999999991</c:v>
                </c:pt>
                <c:pt idx="6">
                  <c:v>12.128999999999991</c:v>
                </c:pt>
                <c:pt idx="7">
                  <c:v>12.129000000000005</c:v>
                </c:pt>
                <c:pt idx="8">
                  <c:v>12.128999999999998</c:v>
                </c:pt>
                <c:pt idx="9">
                  <c:v>12.129000000000005</c:v>
                </c:pt>
                <c:pt idx="10">
                  <c:v>12.128999999999998</c:v>
                </c:pt>
                <c:pt idx="11">
                  <c:v>12.128999999999998</c:v>
                </c:pt>
                <c:pt idx="12">
                  <c:v>12.129000000000001</c:v>
                </c:pt>
                <c:pt idx="13">
                  <c:v>12.129000000000001</c:v>
                </c:pt>
                <c:pt idx="14">
                  <c:v>12.129000000000001</c:v>
                </c:pt>
                <c:pt idx="15">
                  <c:v>12.129000000000001</c:v>
                </c:pt>
                <c:pt idx="16">
                  <c:v>12.129000000000001</c:v>
                </c:pt>
                <c:pt idx="17">
                  <c:v>12.129000000000001</c:v>
                </c:pt>
                <c:pt idx="18">
                  <c:v>12.128999999999998</c:v>
                </c:pt>
                <c:pt idx="19">
                  <c:v>12.129</c:v>
                </c:pt>
                <c:pt idx="20">
                  <c:v>12.129</c:v>
                </c:pt>
                <c:pt idx="21">
                  <c:v>10.262999999999947</c:v>
                </c:pt>
                <c:pt idx="22">
                  <c:v>7.4639999999998405</c:v>
                </c:pt>
                <c:pt idx="23">
                  <c:v>4.6649999999997345</c:v>
                </c:pt>
              </c:numCache>
            </c:numRef>
          </c:val>
          <c:extLst>
            <c:ext xmlns:c15="http://schemas.microsoft.com/office/drawing/2012/chart" uri="{02D57815-91ED-43cb-92C2-25804820EDAC}">
              <c15:datalabelsRange>
                <c15:f>'IMO GFI'!$F$6:$F$29</c15:f>
                <c15:dlblRangeCache>
                  <c:ptCount val="24"/>
                  <c:pt idx="1">
                    <c:v>-17%</c:v>
                  </c:pt>
                  <c:pt idx="2">
                    <c:v>-19%</c:v>
                  </c:pt>
                  <c:pt idx="3">
                    <c:v>-21%</c:v>
                  </c:pt>
                  <c:pt idx="4">
                    <c:v>-25%</c:v>
                  </c:pt>
                  <c:pt idx="5">
                    <c:v>-30%</c:v>
                  </c:pt>
                  <c:pt idx="6">
                    <c:v>-34%</c:v>
                  </c:pt>
                  <c:pt idx="7">
                    <c:v>-39%</c:v>
                  </c:pt>
                  <c:pt idx="8">
                    <c:v>-43%</c:v>
                  </c:pt>
                </c15:dlblRangeCache>
              </c15:datalabelsRange>
            </c:ext>
            <c:ext xmlns:c16="http://schemas.microsoft.com/office/drawing/2014/chart" uri="{C3380CC4-5D6E-409C-BE32-E72D297353CC}">
              <c16:uniqueId val="{00000019-FA5C-4B1E-93C3-782328F82806}"/>
            </c:ext>
          </c:extLst>
        </c:ser>
        <c:ser>
          <c:idx val="2"/>
          <c:order val="2"/>
          <c:tx>
            <c:strRef>
              <c:f>'IMO GFI'!$I$4</c:f>
              <c:strCache>
                <c:ptCount val="1"/>
                <c:pt idx="0">
                  <c:v>Tier 2 Range</c:v>
                </c:pt>
              </c:strCache>
            </c:strRef>
          </c:tx>
          <c:spPr>
            <a:solidFill>
              <a:srgbClr val="FAE0DA"/>
            </a:solidFill>
            <a:ln>
              <a:noFill/>
            </a:ln>
            <a:effectLst/>
          </c:spPr>
          <c:invertIfNegative val="0"/>
          <c:dLbls>
            <c:dLbl>
              <c:idx val="0"/>
              <c:tx>
                <c:rich>
                  <a:bodyPr/>
                  <a:lstStyle/>
                  <a:p>
                    <a:fld id="{C56220E2-B53A-461A-BAC8-45A52A5C78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FA5C-4B1E-93C3-782328F82806}"/>
                </c:ext>
              </c:extLst>
            </c:dLbl>
            <c:dLbl>
              <c:idx val="1"/>
              <c:tx>
                <c:rich>
                  <a:bodyPr/>
                  <a:lstStyle/>
                  <a:p>
                    <a:fld id="{8C333342-A9FC-4E20-A181-EB0346A99B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A5C-4B1E-93C3-782328F82806}"/>
                </c:ext>
              </c:extLst>
            </c:dLbl>
            <c:dLbl>
              <c:idx val="2"/>
              <c:tx>
                <c:rich>
                  <a:bodyPr/>
                  <a:lstStyle/>
                  <a:p>
                    <a:fld id="{AFC6AC24-8F45-4399-8ADE-96A3DA60A3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5C-4B1E-93C3-782328F82806}"/>
                </c:ext>
              </c:extLst>
            </c:dLbl>
            <c:dLbl>
              <c:idx val="3"/>
              <c:tx>
                <c:rich>
                  <a:bodyPr/>
                  <a:lstStyle/>
                  <a:p>
                    <a:fld id="{D91B1ACF-429A-430C-8E4F-C6625BD058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A5C-4B1E-93C3-782328F82806}"/>
                </c:ext>
              </c:extLst>
            </c:dLbl>
            <c:dLbl>
              <c:idx val="4"/>
              <c:tx>
                <c:rich>
                  <a:bodyPr/>
                  <a:lstStyle/>
                  <a:p>
                    <a:fld id="{414BBADC-852D-4C6B-B373-337EAF6387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5C-4B1E-93C3-782328F82806}"/>
                </c:ext>
              </c:extLst>
            </c:dLbl>
            <c:dLbl>
              <c:idx val="5"/>
              <c:tx>
                <c:rich>
                  <a:bodyPr/>
                  <a:lstStyle/>
                  <a:p>
                    <a:fld id="{352B8431-D20E-4B32-905E-E0DDE50F51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A5C-4B1E-93C3-782328F82806}"/>
                </c:ext>
              </c:extLst>
            </c:dLbl>
            <c:dLbl>
              <c:idx val="6"/>
              <c:tx>
                <c:rich>
                  <a:bodyPr/>
                  <a:lstStyle/>
                  <a:p>
                    <a:fld id="{1478722A-6089-4E85-AC9A-1A3D2210AB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5C-4B1E-93C3-782328F82806}"/>
                </c:ext>
              </c:extLst>
            </c:dLbl>
            <c:dLbl>
              <c:idx val="7"/>
              <c:tx>
                <c:rich>
                  <a:bodyPr/>
                  <a:lstStyle/>
                  <a:p>
                    <a:fld id="{43EBB6A8-A1A4-467E-BDD9-87376DE801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A5C-4B1E-93C3-782328F82806}"/>
                </c:ext>
              </c:extLst>
            </c:dLbl>
            <c:dLbl>
              <c:idx val="8"/>
              <c:tx>
                <c:rich>
                  <a:bodyPr/>
                  <a:lstStyle/>
                  <a:p>
                    <a:fld id="{C07BDADE-788F-446C-AF06-E68C4CD403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5C-4B1E-93C3-782328F82806}"/>
                </c:ext>
              </c:extLst>
            </c:dLbl>
            <c:dLbl>
              <c:idx val="9"/>
              <c:tx>
                <c:rich>
                  <a:bodyPr/>
                  <a:lstStyle/>
                  <a:p>
                    <a:fld id="{2C3FD002-1E60-495B-A437-2FBA3A939F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A5C-4B1E-93C3-782328F82806}"/>
                </c:ext>
              </c:extLst>
            </c:dLbl>
            <c:dLbl>
              <c:idx val="10"/>
              <c:tx>
                <c:rich>
                  <a:bodyPr/>
                  <a:lstStyle/>
                  <a:p>
                    <a:fld id="{7C49B9F6-335E-49C1-9EE9-B110DA6763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A5C-4B1E-93C3-782328F82806}"/>
                </c:ext>
              </c:extLst>
            </c:dLbl>
            <c:dLbl>
              <c:idx val="11"/>
              <c:tx>
                <c:rich>
                  <a:bodyPr/>
                  <a:lstStyle/>
                  <a:p>
                    <a:fld id="{F624D691-DDA0-47A2-B0E0-7BA73053E3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5C-4B1E-93C3-782328F82806}"/>
                </c:ext>
              </c:extLst>
            </c:dLbl>
            <c:dLbl>
              <c:idx val="12"/>
              <c:tx>
                <c:rich>
                  <a:bodyPr/>
                  <a:lstStyle/>
                  <a:p>
                    <a:fld id="{748DE163-42F3-4D94-BCE1-4B4E78F74D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FA5C-4B1E-93C3-782328F82806}"/>
                </c:ext>
              </c:extLst>
            </c:dLbl>
            <c:dLbl>
              <c:idx val="13"/>
              <c:tx>
                <c:rich>
                  <a:bodyPr/>
                  <a:lstStyle/>
                  <a:p>
                    <a:fld id="{884EF57E-2957-471B-90A3-D03AF374A6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5C-4B1E-93C3-782328F82806}"/>
                </c:ext>
              </c:extLst>
            </c:dLbl>
            <c:dLbl>
              <c:idx val="14"/>
              <c:tx>
                <c:rich>
                  <a:bodyPr/>
                  <a:lstStyle/>
                  <a:p>
                    <a:fld id="{9D7DF58A-4143-487A-876D-EFE4811668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FA5C-4B1E-93C3-782328F82806}"/>
                </c:ext>
              </c:extLst>
            </c:dLbl>
            <c:dLbl>
              <c:idx val="15"/>
              <c:tx>
                <c:rich>
                  <a:bodyPr/>
                  <a:lstStyle/>
                  <a:p>
                    <a:fld id="{E32F6B9A-166C-4DC5-85AE-8AE3E06F27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FA5C-4B1E-93C3-782328F82806}"/>
                </c:ext>
              </c:extLst>
            </c:dLbl>
            <c:dLbl>
              <c:idx val="16"/>
              <c:tx>
                <c:rich>
                  <a:bodyPr/>
                  <a:lstStyle/>
                  <a:p>
                    <a:fld id="{A31506D2-694F-43B0-A9B3-DFA6F4998D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FA5C-4B1E-93C3-782328F82806}"/>
                </c:ext>
              </c:extLst>
            </c:dLbl>
            <c:dLbl>
              <c:idx val="17"/>
              <c:tx>
                <c:rich>
                  <a:bodyPr/>
                  <a:lstStyle/>
                  <a:p>
                    <a:fld id="{DBCBFC2F-9D8D-4778-89FA-4C5C133571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FA5C-4B1E-93C3-782328F82806}"/>
                </c:ext>
              </c:extLst>
            </c:dLbl>
            <c:dLbl>
              <c:idx val="18"/>
              <c:tx>
                <c:rich>
                  <a:bodyPr/>
                  <a:lstStyle/>
                  <a:p>
                    <a:fld id="{FD975C41-7873-4FFC-B0BF-8FCD32CF7E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FA5C-4B1E-93C3-782328F82806}"/>
                </c:ext>
              </c:extLst>
            </c:dLbl>
            <c:dLbl>
              <c:idx val="19"/>
              <c:tx>
                <c:rich>
                  <a:bodyPr/>
                  <a:lstStyle/>
                  <a:p>
                    <a:fld id="{0EC1406F-86CB-4BC8-837F-A2F24BD938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FA5C-4B1E-93C3-782328F82806}"/>
                </c:ext>
              </c:extLst>
            </c:dLbl>
            <c:dLbl>
              <c:idx val="20"/>
              <c:tx>
                <c:rich>
                  <a:bodyPr/>
                  <a:lstStyle/>
                  <a:p>
                    <a:fld id="{9BDB8774-5933-410B-9D07-3A6AD24C8C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FA5C-4B1E-93C3-782328F82806}"/>
                </c:ext>
              </c:extLst>
            </c:dLbl>
            <c:dLbl>
              <c:idx val="21"/>
              <c:tx>
                <c:rich>
                  <a:bodyPr/>
                  <a:lstStyle/>
                  <a:p>
                    <a:fld id="{CDC0B3E3-30A9-4092-A658-F6F54274D1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FA5C-4B1E-93C3-782328F82806}"/>
                </c:ext>
              </c:extLst>
            </c:dLbl>
            <c:dLbl>
              <c:idx val="22"/>
              <c:tx>
                <c:rich>
                  <a:bodyPr/>
                  <a:lstStyle/>
                  <a:p>
                    <a:fld id="{0B05B431-9C4A-46BD-9BB0-9809361816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FA5C-4B1E-93C3-782328F82806}"/>
                </c:ext>
              </c:extLst>
            </c:dLbl>
            <c:dLbl>
              <c:idx val="23"/>
              <c:tx>
                <c:rich>
                  <a:bodyPr/>
                  <a:lstStyle/>
                  <a:p>
                    <a:fld id="{BA19F6E3-0605-465C-A88B-0C9EC3DD9E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GFI'!$I$6:$I$29</c:f>
              <c:numCache>
                <c:formatCode>0.00</c:formatCode>
                <c:ptCount val="24"/>
                <c:pt idx="0">
                  <c:v>0</c:v>
                </c:pt>
                <c:pt idx="1">
                  <c:v>3.7319999999999993</c:v>
                </c:pt>
                <c:pt idx="2">
                  <c:v>5.597999999999999</c:v>
                </c:pt>
                <c:pt idx="3">
                  <c:v>7.4639999999999986</c:v>
                </c:pt>
                <c:pt idx="4">
                  <c:v>11.569199999999995</c:v>
                </c:pt>
                <c:pt idx="5">
                  <c:v>15.674400000000006</c:v>
                </c:pt>
                <c:pt idx="6">
                  <c:v>19.779600000000002</c:v>
                </c:pt>
                <c:pt idx="7">
                  <c:v>23.884799999999998</c:v>
                </c:pt>
                <c:pt idx="8">
                  <c:v>27.990000000001061</c:v>
                </c:pt>
                <c:pt idx="9">
                  <c:v>34.52100000000042</c:v>
                </c:pt>
                <c:pt idx="10">
                  <c:v>41.051999999999786</c:v>
                </c:pt>
                <c:pt idx="11">
                  <c:v>47.583000000001803</c:v>
                </c:pt>
                <c:pt idx="12">
                  <c:v>54.114000000001155</c:v>
                </c:pt>
                <c:pt idx="13">
                  <c:v>60.645000000000522</c:v>
                </c:pt>
                <c:pt idx="14">
                  <c:v>63.443999999999974</c:v>
                </c:pt>
                <c:pt idx="15">
                  <c:v>66.243000000000066</c:v>
                </c:pt>
                <c:pt idx="16">
                  <c:v>69.042000000000186</c:v>
                </c:pt>
                <c:pt idx="17">
                  <c:v>71.841000000000278</c:v>
                </c:pt>
                <c:pt idx="18">
                  <c:v>74.639999999999731</c:v>
                </c:pt>
                <c:pt idx="19">
                  <c:v>77.438999999999837</c:v>
                </c:pt>
                <c:pt idx="20">
                  <c:v>80.237999999999943</c:v>
                </c:pt>
                <c:pt idx="21">
                  <c:v>83.037000000000049</c:v>
                </c:pt>
                <c:pt idx="22">
                  <c:v>85.836000000000155</c:v>
                </c:pt>
                <c:pt idx="23">
                  <c:v>88.635000000000261</c:v>
                </c:pt>
              </c:numCache>
            </c:numRef>
          </c:val>
          <c:extLst>
            <c:ext xmlns:c15="http://schemas.microsoft.com/office/drawing/2012/chart" uri="{02D57815-91ED-43cb-92C2-25804820EDAC}">
              <c15:datalabelsRange>
                <c15:f>'IMO GFI'!$D$6:$D$29</c15:f>
                <c15:dlblRangeCache>
                  <c:ptCount val="24"/>
                  <c:pt idx="1">
                    <c:v>-4%</c:v>
                  </c:pt>
                  <c:pt idx="2">
                    <c:v>-6%</c:v>
                  </c:pt>
                  <c:pt idx="3">
                    <c:v>-8%</c:v>
                  </c:pt>
                  <c:pt idx="4">
                    <c:v>-12%</c:v>
                  </c:pt>
                  <c:pt idx="5">
                    <c:v>-17%</c:v>
                  </c:pt>
                  <c:pt idx="6">
                    <c:v>-21%</c:v>
                  </c:pt>
                  <c:pt idx="7">
                    <c:v>-26%</c:v>
                  </c:pt>
                  <c:pt idx="8">
                    <c:v>-30%</c:v>
                  </c:pt>
                  <c:pt idx="13">
                    <c:v>-65%</c:v>
                  </c:pt>
                </c15:dlblRangeCache>
              </c15:datalabelsRange>
            </c:ext>
            <c:ext xmlns:c16="http://schemas.microsoft.com/office/drawing/2014/chart" uri="{C3380CC4-5D6E-409C-BE32-E72D297353CC}">
              <c16:uniqueId val="{00000032-FA5C-4B1E-93C3-782328F82806}"/>
            </c:ext>
          </c:extLst>
        </c:ser>
        <c:dLbls>
          <c:showLegendKey val="0"/>
          <c:showVal val="0"/>
          <c:showCatName val="0"/>
          <c:showSerName val="0"/>
          <c:showPercent val="0"/>
          <c:showBubbleSize val="0"/>
        </c:dLbls>
        <c:gapWidth val="0"/>
        <c:overlap val="100"/>
        <c:axId val="2105188815"/>
        <c:axId val="2105205615"/>
      </c:barChart>
      <c:catAx>
        <c:axId val="210518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205615"/>
        <c:crosses val="autoZero"/>
        <c:auto val="1"/>
        <c:lblAlgn val="ctr"/>
        <c:lblOffset val="100"/>
        <c:noMultiLvlLbl val="0"/>
      </c:catAx>
      <c:valAx>
        <c:axId val="2105205615"/>
        <c:scaling>
          <c:orientation val="minMax"/>
          <c:max val="93.3"/>
          <c:min val="0"/>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188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218899</xdr:colOff>
      <xdr:row>11</xdr:row>
      <xdr:rowOff>25752</xdr:rowOff>
    </xdr:from>
    <xdr:to>
      <xdr:col>13</xdr:col>
      <xdr:colOff>369611</xdr:colOff>
      <xdr:row>31</xdr:row>
      <xdr:rowOff>235323</xdr:rowOff>
    </xdr:to>
    <xdr:graphicFrame macro="">
      <xdr:nvGraphicFramePr>
        <xdr:cNvPr id="26" name="Chart 17">
          <a:extLst>
            <a:ext uri="{FF2B5EF4-FFF2-40B4-BE49-F238E27FC236}">
              <a16:creationId xmlns:a16="http://schemas.microsoft.com/office/drawing/2014/main" id="{189CD7AD-5015-49AA-BC4E-2A6BECCA9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164052</xdr:colOff>
      <xdr:row>1</xdr:row>
      <xdr:rowOff>437030</xdr:rowOff>
    </xdr:from>
    <xdr:to>
      <xdr:col>6</xdr:col>
      <xdr:colOff>2183473</xdr:colOff>
      <xdr:row>10</xdr:row>
      <xdr:rowOff>188490</xdr:rowOff>
    </xdr:to>
    <xdr:graphicFrame macro="">
      <xdr:nvGraphicFramePr>
        <xdr:cNvPr id="19" name="Chart 18">
          <a:extLst>
            <a:ext uri="{FF2B5EF4-FFF2-40B4-BE49-F238E27FC236}">
              <a16:creationId xmlns:a16="http://schemas.microsoft.com/office/drawing/2014/main" id="{E2B6948A-4B0E-42C1-BBC8-54BFC9C78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2315414</xdr:colOff>
      <xdr:row>1</xdr:row>
      <xdr:rowOff>436674</xdr:rowOff>
    </xdr:from>
    <xdr:to>
      <xdr:col>9</xdr:col>
      <xdr:colOff>1614</xdr:colOff>
      <xdr:row>10</xdr:row>
      <xdr:rowOff>181988</xdr:rowOff>
    </xdr:to>
    <xdr:graphicFrame macro="">
      <xdr:nvGraphicFramePr>
        <xdr:cNvPr id="20" name="Chart 3">
          <a:extLst>
            <a:ext uri="{FF2B5EF4-FFF2-40B4-BE49-F238E27FC236}">
              <a16:creationId xmlns:a16="http://schemas.microsoft.com/office/drawing/2014/main" id="{48488246-DB2F-4CD6-8BA4-C1A1FA37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78521</xdr:colOff>
      <xdr:row>1</xdr:row>
      <xdr:rowOff>436698</xdr:rowOff>
    </xdr:from>
    <xdr:to>
      <xdr:col>11</xdr:col>
      <xdr:colOff>189716</xdr:colOff>
      <xdr:row>10</xdr:row>
      <xdr:rowOff>182469</xdr:rowOff>
    </xdr:to>
    <xdr:graphicFrame macro="">
      <xdr:nvGraphicFramePr>
        <xdr:cNvPr id="21" name="Chart 4">
          <a:extLst>
            <a:ext uri="{FF2B5EF4-FFF2-40B4-BE49-F238E27FC236}">
              <a16:creationId xmlns:a16="http://schemas.microsoft.com/office/drawing/2014/main" id="{0B2C9CB3-12B7-4488-B005-1D9A4C152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255958</xdr:colOff>
      <xdr:row>1</xdr:row>
      <xdr:rowOff>436211</xdr:rowOff>
    </xdr:from>
    <xdr:to>
      <xdr:col>13</xdr:col>
      <xdr:colOff>354454</xdr:colOff>
      <xdr:row>10</xdr:row>
      <xdr:rowOff>173614</xdr:rowOff>
    </xdr:to>
    <xdr:graphicFrame macro="">
      <xdr:nvGraphicFramePr>
        <xdr:cNvPr id="22" name="Chart 23">
          <a:extLst>
            <a:ext uri="{FF2B5EF4-FFF2-40B4-BE49-F238E27FC236}">
              <a16:creationId xmlns:a16="http://schemas.microsoft.com/office/drawing/2014/main" id="{8EC2F91F-FB08-4A41-B4A7-1E127F145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305585</xdr:colOff>
      <xdr:row>3</xdr:row>
      <xdr:rowOff>138761</xdr:rowOff>
    </xdr:from>
    <xdr:to>
      <xdr:col>6</xdr:col>
      <xdr:colOff>1982059</xdr:colOff>
      <xdr:row>3</xdr:row>
      <xdr:rowOff>383423</xdr:rowOff>
    </xdr:to>
    <xdr:sp macro="" textlink="$G$47">
      <xdr:nvSpPr>
        <xdr:cNvPr id="7" name="TextBox 6">
          <a:extLst>
            <a:ext uri="{FF2B5EF4-FFF2-40B4-BE49-F238E27FC236}">
              <a16:creationId xmlns:a16="http://schemas.microsoft.com/office/drawing/2014/main" id="{9548145C-0CBD-45F3-B8F7-CC21F55B411B}"/>
            </a:ext>
          </a:extLst>
        </xdr:cNvPr>
        <xdr:cNvSpPr txBox="1"/>
      </xdr:nvSpPr>
      <xdr:spPr>
        <a:xfrm>
          <a:off x="10839114" y="1382614"/>
          <a:ext cx="1676474" cy="24466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E368E0A-2563-4A98-93D4-744B008D6F44}" type="TxLink">
            <a:rPr lang="en-US" sz="900" b="1" i="1" u="none" strike="noStrike">
              <a:solidFill>
                <a:sysClr val="windowText" lastClr="000000"/>
              </a:solidFill>
              <a:latin typeface="Calibri"/>
              <a:ea typeface="Calibri"/>
              <a:cs typeface="Calibri"/>
            </a:rPr>
            <a:pPr algn="ctr"/>
            <a:t>Total S1 = 845 USD/tLSFOeq</a:t>
          </a:fld>
          <a:endParaRPr lang="en-US" sz="1100">
            <a:solidFill>
              <a:sysClr val="windowText" lastClr="000000"/>
            </a:solidFill>
          </a:endParaRPr>
        </a:p>
      </xdr:txBody>
    </xdr:sp>
    <xdr:clientData/>
  </xdr:twoCellAnchor>
  <xdr:twoCellAnchor>
    <xdr:from>
      <xdr:col>6</xdr:col>
      <xdr:colOff>2350434</xdr:colOff>
      <xdr:row>3</xdr:row>
      <xdr:rowOff>159156</xdr:rowOff>
    </xdr:from>
    <xdr:to>
      <xdr:col>8</xdr:col>
      <xdr:colOff>816086</xdr:colOff>
      <xdr:row>3</xdr:row>
      <xdr:rowOff>394293</xdr:rowOff>
    </xdr:to>
    <xdr:sp macro="" textlink="$J$48">
      <xdr:nvSpPr>
        <xdr:cNvPr id="8" name="TextBox 7">
          <a:extLst>
            <a:ext uri="{FF2B5EF4-FFF2-40B4-BE49-F238E27FC236}">
              <a16:creationId xmlns:a16="http://schemas.microsoft.com/office/drawing/2014/main" id="{89C82D57-EA32-454E-AC73-13E0D4E67D95}"/>
            </a:ext>
          </a:extLst>
        </xdr:cNvPr>
        <xdr:cNvSpPr txBox="1"/>
      </xdr:nvSpPr>
      <xdr:spPr>
        <a:xfrm>
          <a:off x="12883963" y="1403009"/>
          <a:ext cx="1659329" cy="23513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56FEA49-7E55-4DAB-B437-8551FD1CDFEE}" type="TxLink">
            <a:rPr lang="en-US" sz="900" b="1" i="1" u="none" strike="noStrike">
              <a:solidFill>
                <a:sysClr val="windowText" lastClr="000000"/>
              </a:solidFill>
              <a:latin typeface="Calibri"/>
              <a:ea typeface="Calibri"/>
              <a:cs typeface="Calibri"/>
            </a:rPr>
            <a:pPr marL="0" indent="0" algn="ctr"/>
            <a:t>Total S2 = 505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9</xdr:col>
      <xdr:colOff>185868</xdr:colOff>
      <xdr:row>3</xdr:row>
      <xdr:rowOff>147091</xdr:rowOff>
    </xdr:from>
    <xdr:to>
      <xdr:col>10</xdr:col>
      <xdr:colOff>907713</xdr:colOff>
      <xdr:row>3</xdr:row>
      <xdr:rowOff>394293</xdr:rowOff>
    </xdr:to>
    <xdr:sp macro="" textlink="$M$48">
      <xdr:nvSpPr>
        <xdr:cNvPr id="9" name="TextBox 8">
          <a:extLst>
            <a:ext uri="{FF2B5EF4-FFF2-40B4-BE49-F238E27FC236}">
              <a16:creationId xmlns:a16="http://schemas.microsoft.com/office/drawing/2014/main" id="{AB6018CB-9F65-4501-A5DE-81815C5D01D1}"/>
            </a:ext>
          </a:extLst>
        </xdr:cNvPr>
        <xdr:cNvSpPr txBox="1"/>
      </xdr:nvSpPr>
      <xdr:spPr>
        <a:xfrm>
          <a:off x="14854368" y="1390944"/>
          <a:ext cx="1663139" cy="24720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4E5DC42-1293-4E6B-BFB5-959D1BDF4669}" type="TxLink">
            <a:rPr lang="en-US" sz="900" b="1" i="1" u="none" strike="noStrike">
              <a:solidFill>
                <a:sysClr val="windowText" lastClr="000000"/>
              </a:solidFill>
              <a:latin typeface="Calibri"/>
              <a:ea typeface="Calibri"/>
              <a:cs typeface="Calibri"/>
            </a:rPr>
            <a:pPr marL="0" indent="0" algn="ctr"/>
            <a:t>Total S3 = 876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11</xdr:col>
      <xdr:colOff>383726</xdr:colOff>
      <xdr:row>3</xdr:row>
      <xdr:rowOff>138761</xdr:rowOff>
    </xdr:from>
    <xdr:to>
      <xdr:col>13</xdr:col>
      <xdr:colOff>154752</xdr:colOff>
      <xdr:row>3</xdr:row>
      <xdr:rowOff>375168</xdr:rowOff>
    </xdr:to>
    <xdr:sp macro="" textlink="$P$50">
      <xdr:nvSpPr>
        <xdr:cNvPr id="10" name="TextBox 9">
          <a:extLst>
            <a:ext uri="{FF2B5EF4-FFF2-40B4-BE49-F238E27FC236}">
              <a16:creationId xmlns:a16="http://schemas.microsoft.com/office/drawing/2014/main" id="{0F2B0E8E-869A-430A-8593-77CE13E547D3}"/>
            </a:ext>
          </a:extLst>
        </xdr:cNvPr>
        <xdr:cNvSpPr txBox="1"/>
      </xdr:nvSpPr>
      <xdr:spPr>
        <a:xfrm>
          <a:off x="16934814" y="1382614"/>
          <a:ext cx="1653614" cy="2364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F54D0391-41DB-44C1-86AD-73354E33A6FD}" type="TxLink">
            <a:rPr lang="en-US" sz="900" b="1" i="1" u="none" strike="noStrike">
              <a:solidFill>
                <a:sysClr val="windowText" lastClr="000000"/>
              </a:solidFill>
              <a:latin typeface="Calibri"/>
              <a:ea typeface="Calibri"/>
              <a:cs typeface="Calibri"/>
            </a:rPr>
            <a:pPr marL="0" indent="0" algn="ctr"/>
            <a:t>Total S4 = 795 USD/tLSFOeq</a:t>
          </a:fld>
          <a:endParaRPr lang="en-US" sz="900" b="1" i="1" u="none" strike="noStrike">
            <a:solidFill>
              <a:sysClr val="windowText" lastClr="000000"/>
            </a:solidFill>
            <a:latin typeface="Calibri"/>
            <a:ea typeface="Calibri"/>
            <a:cs typeface="Calibri"/>
          </a:endParaRPr>
        </a:p>
      </xdr:txBody>
    </xdr:sp>
    <xdr:clientData/>
  </xdr:twoCellAnchor>
  <xdr:twoCellAnchor editAs="oneCell">
    <xdr:from>
      <xdr:col>6</xdr:col>
      <xdr:colOff>753969</xdr:colOff>
      <xdr:row>1</xdr:row>
      <xdr:rowOff>324971</xdr:rowOff>
    </xdr:from>
    <xdr:to>
      <xdr:col>6</xdr:col>
      <xdr:colOff>1535094</xdr:colOff>
      <xdr:row>2</xdr:row>
      <xdr:rowOff>456076</xdr:rowOff>
    </xdr:to>
    <xdr:pic>
      <xdr:nvPicPr>
        <xdr:cNvPr id="11" name="Picture 10">
          <a:extLst>
            <a:ext uri="{FF2B5EF4-FFF2-40B4-BE49-F238E27FC236}">
              <a16:creationId xmlns:a16="http://schemas.microsoft.com/office/drawing/2014/main" id="{A3ED5F58-48EA-4249-A5B6-9B027BE4DEB5}"/>
            </a:ext>
          </a:extLst>
        </xdr:cNvPr>
        <xdr:cNvPicPr>
          <a:picLocks noChangeAspect="1"/>
        </xdr:cNvPicPr>
      </xdr:nvPicPr>
      <xdr:blipFill>
        <a:blip xmlns:r="http://schemas.openxmlformats.org/officeDocument/2006/relationships" r:embed="rId6"/>
        <a:stretch>
          <a:fillRect/>
        </a:stretch>
      </xdr:blipFill>
      <xdr:spPr>
        <a:xfrm>
          <a:off x="11287498" y="504265"/>
          <a:ext cx="781125" cy="579340"/>
        </a:xfrm>
        <a:prstGeom prst="rect">
          <a:avLst/>
        </a:prstGeom>
      </xdr:spPr>
    </xdr:pic>
    <xdr:clientData/>
  </xdr:twoCellAnchor>
  <xdr:twoCellAnchor editAs="oneCell">
    <xdr:from>
      <xdr:col>7</xdr:col>
      <xdr:colOff>412042</xdr:colOff>
      <xdr:row>1</xdr:row>
      <xdr:rowOff>324971</xdr:rowOff>
    </xdr:from>
    <xdr:to>
      <xdr:col>8</xdr:col>
      <xdr:colOff>392050</xdr:colOff>
      <xdr:row>2</xdr:row>
      <xdr:rowOff>476294</xdr:rowOff>
    </xdr:to>
    <xdr:pic>
      <xdr:nvPicPr>
        <xdr:cNvPr id="12" name="Picture 11">
          <a:extLst>
            <a:ext uri="{FF2B5EF4-FFF2-40B4-BE49-F238E27FC236}">
              <a16:creationId xmlns:a16="http://schemas.microsoft.com/office/drawing/2014/main" id="{A45E0547-15D2-4C71-8064-1FB68473AB37}"/>
            </a:ext>
          </a:extLst>
        </xdr:cNvPr>
        <xdr:cNvPicPr>
          <a:picLocks noChangeAspect="1"/>
        </xdr:cNvPicPr>
      </xdr:nvPicPr>
      <xdr:blipFill>
        <a:blip xmlns:r="http://schemas.openxmlformats.org/officeDocument/2006/relationships" r:embed="rId7"/>
        <a:stretch>
          <a:fillRect/>
        </a:stretch>
      </xdr:blipFill>
      <xdr:spPr>
        <a:xfrm>
          <a:off x="13332424" y="504265"/>
          <a:ext cx="786832" cy="599558"/>
        </a:xfrm>
        <a:prstGeom prst="rect">
          <a:avLst/>
        </a:prstGeom>
      </xdr:spPr>
    </xdr:pic>
    <xdr:clientData/>
  </xdr:twoCellAnchor>
  <xdr:twoCellAnchor editAs="oneCell">
    <xdr:from>
      <xdr:col>9</xdr:col>
      <xdr:colOff>636234</xdr:colOff>
      <xdr:row>1</xdr:row>
      <xdr:rowOff>324971</xdr:rowOff>
    </xdr:from>
    <xdr:to>
      <xdr:col>10</xdr:col>
      <xdr:colOff>465904</xdr:colOff>
      <xdr:row>2</xdr:row>
      <xdr:rowOff>418973</xdr:rowOff>
    </xdr:to>
    <xdr:pic>
      <xdr:nvPicPr>
        <xdr:cNvPr id="13" name="Picture 12">
          <a:extLst>
            <a:ext uri="{FF2B5EF4-FFF2-40B4-BE49-F238E27FC236}">
              <a16:creationId xmlns:a16="http://schemas.microsoft.com/office/drawing/2014/main" id="{39E231EE-48FF-41A8-9645-1F8214A681CF}"/>
            </a:ext>
          </a:extLst>
        </xdr:cNvPr>
        <xdr:cNvPicPr>
          <a:picLocks noChangeAspect="1"/>
        </xdr:cNvPicPr>
      </xdr:nvPicPr>
      <xdr:blipFill>
        <a:blip xmlns:r="http://schemas.openxmlformats.org/officeDocument/2006/relationships" r:embed="rId8"/>
        <a:stretch>
          <a:fillRect/>
        </a:stretch>
      </xdr:blipFill>
      <xdr:spPr>
        <a:xfrm>
          <a:off x="15304734" y="504265"/>
          <a:ext cx="770964" cy="542237"/>
        </a:xfrm>
        <a:prstGeom prst="rect">
          <a:avLst/>
        </a:prstGeom>
      </xdr:spPr>
    </xdr:pic>
    <xdr:clientData/>
  </xdr:twoCellAnchor>
  <xdr:twoCellAnchor editAs="oneCell">
    <xdr:from>
      <xdr:col>11</xdr:col>
      <xdr:colOff>850041</xdr:colOff>
      <xdr:row>1</xdr:row>
      <xdr:rowOff>324971</xdr:rowOff>
    </xdr:from>
    <xdr:to>
      <xdr:col>12</xdr:col>
      <xdr:colOff>695501</xdr:colOff>
      <xdr:row>2</xdr:row>
      <xdr:rowOff>446225</xdr:rowOff>
    </xdr:to>
    <xdr:pic>
      <xdr:nvPicPr>
        <xdr:cNvPr id="14" name="Picture 13">
          <a:extLst>
            <a:ext uri="{FF2B5EF4-FFF2-40B4-BE49-F238E27FC236}">
              <a16:creationId xmlns:a16="http://schemas.microsoft.com/office/drawing/2014/main" id="{8F74CCD0-A2A9-4373-A3D9-CDBCC669DB86}"/>
            </a:ext>
          </a:extLst>
        </xdr:cNvPr>
        <xdr:cNvPicPr>
          <a:picLocks noChangeAspect="1"/>
        </xdr:cNvPicPr>
      </xdr:nvPicPr>
      <xdr:blipFill>
        <a:blip xmlns:r="http://schemas.openxmlformats.org/officeDocument/2006/relationships" r:embed="rId9"/>
        <a:stretch>
          <a:fillRect/>
        </a:stretch>
      </xdr:blipFill>
      <xdr:spPr>
        <a:xfrm>
          <a:off x="17401129" y="504265"/>
          <a:ext cx="780404" cy="569489"/>
        </a:xfrm>
        <a:prstGeom prst="rect">
          <a:avLst/>
        </a:prstGeom>
      </xdr:spPr>
    </xdr:pic>
    <xdr:clientData/>
  </xdr:twoCellAnchor>
  <xdr:twoCellAnchor editAs="oneCell">
    <xdr:from>
      <xdr:col>6</xdr:col>
      <xdr:colOff>753035</xdr:colOff>
      <xdr:row>13</xdr:row>
      <xdr:rowOff>190500</xdr:rowOff>
    </xdr:from>
    <xdr:to>
      <xdr:col>6</xdr:col>
      <xdr:colOff>1284283</xdr:colOff>
      <xdr:row>15</xdr:row>
      <xdr:rowOff>125273</xdr:rowOff>
    </xdr:to>
    <xdr:pic>
      <xdr:nvPicPr>
        <xdr:cNvPr id="15" name="Picture 14">
          <a:extLst>
            <a:ext uri="{FF2B5EF4-FFF2-40B4-BE49-F238E27FC236}">
              <a16:creationId xmlns:a16="http://schemas.microsoft.com/office/drawing/2014/main" id="{37B26A66-67C4-425B-BD54-B921F054C657}"/>
            </a:ext>
          </a:extLst>
        </xdr:cNvPr>
        <xdr:cNvPicPr>
          <a:picLocks noChangeAspect="1"/>
        </xdr:cNvPicPr>
      </xdr:nvPicPr>
      <xdr:blipFill>
        <a:blip xmlns:r="http://schemas.openxmlformats.org/officeDocument/2006/relationships" r:embed="rId7"/>
        <a:stretch>
          <a:fillRect/>
        </a:stretch>
      </xdr:blipFill>
      <xdr:spPr>
        <a:xfrm>
          <a:off x="11286564" y="7104529"/>
          <a:ext cx="528073" cy="357421"/>
        </a:xfrm>
        <a:prstGeom prst="rect">
          <a:avLst/>
        </a:prstGeom>
      </xdr:spPr>
    </xdr:pic>
    <xdr:clientData/>
  </xdr:twoCellAnchor>
  <xdr:twoCellAnchor editAs="oneCell">
    <xdr:from>
      <xdr:col>6</xdr:col>
      <xdr:colOff>776718</xdr:colOff>
      <xdr:row>15</xdr:row>
      <xdr:rowOff>347381</xdr:rowOff>
    </xdr:from>
    <xdr:to>
      <xdr:col>6</xdr:col>
      <xdr:colOff>1313088</xdr:colOff>
      <xdr:row>15</xdr:row>
      <xdr:rowOff>723444</xdr:rowOff>
    </xdr:to>
    <xdr:pic>
      <xdr:nvPicPr>
        <xdr:cNvPr id="16" name="Picture 15">
          <a:extLst>
            <a:ext uri="{FF2B5EF4-FFF2-40B4-BE49-F238E27FC236}">
              <a16:creationId xmlns:a16="http://schemas.microsoft.com/office/drawing/2014/main" id="{448B60C2-644F-4A93-845F-AFE9CFB5ACA7}"/>
            </a:ext>
          </a:extLst>
        </xdr:cNvPr>
        <xdr:cNvPicPr>
          <a:picLocks noChangeAspect="1"/>
        </xdr:cNvPicPr>
      </xdr:nvPicPr>
      <xdr:blipFill>
        <a:blip xmlns:r="http://schemas.openxmlformats.org/officeDocument/2006/relationships" r:embed="rId8"/>
        <a:stretch>
          <a:fillRect/>
        </a:stretch>
      </xdr:blipFill>
      <xdr:spPr>
        <a:xfrm>
          <a:off x="11310247" y="7687234"/>
          <a:ext cx="536370" cy="376063"/>
        </a:xfrm>
        <a:prstGeom prst="rect">
          <a:avLst/>
        </a:prstGeom>
      </xdr:spPr>
    </xdr:pic>
    <xdr:clientData/>
  </xdr:twoCellAnchor>
  <xdr:twoCellAnchor editAs="oneCell">
    <xdr:from>
      <xdr:col>6</xdr:col>
      <xdr:colOff>799205</xdr:colOff>
      <xdr:row>15</xdr:row>
      <xdr:rowOff>649941</xdr:rowOff>
    </xdr:from>
    <xdr:to>
      <xdr:col>6</xdr:col>
      <xdr:colOff>1316851</xdr:colOff>
      <xdr:row>15</xdr:row>
      <xdr:rowOff>1025844</xdr:rowOff>
    </xdr:to>
    <xdr:pic>
      <xdr:nvPicPr>
        <xdr:cNvPr id="17" name="Picture 16">
          <a:extLst>
            <a:ext uri="{FF2B5EF4-FFF2-40B4-BE49-F238E27FC236}">
              <a16:creationId xmlns:a16="http://schemas.microsoft.com/office/drawing/2014/main" id="{54F0802F-7B6C-4E84-9585-EDFBB4A35046}"/>
            </a:ext>
          </a:extLst>
        </xdr:cNvPr>
        <xdr:cNvPicPr>
          <a:picLocks noChangeAspect="1"/>
        </xdr:cNvPicPr>
      </xdr:nvPicPr>
      <xdr:blipFill>
        <a:blip xmlns:r="http://schemas.openxmlformats.org/officeDocument/2006/relationships" r:embed="rId9"/>
        <a:stretch>
          <a:fillRect/>
        </a:stretch>
      </xdr:blipFill>
      <xdr:spPr>
        <a:xfrm>
          <a:off x="11332734" y="7989794"/>
          <a:ext cx="517646" cy="375903"/>
        </a:xfrm>
        <a:prstGeom prst="rect">
          <a:avLst/>
        </a:prstGeom>
      </xdr:spPr>
    </xdr:pic>
    <xdr:clientData/>
  </xdr:twoCellAnchor>
  <xdr:twoCellAnchor editAs="oneCell">
    <xdr:from>
      <xdr:col>6</xdr:col>
      <xdr:colOff>786578</xdr:colOff>
      <xdr:row>15</xdr:row>
      <xdr:rowOff>44823</xdr:rowOff>
    </xdr:from>
    <xdr:to>
      <xdr:col>6</xdr:col>
      <xdr:colOff>1314920</xdr:colOff>
      <xdr:row>15</xdr:row>
      <xdr:rowOff>446909</xdr:rowOff>
    </xdr:to>
    <xdr:pic>
      <xdr:nvPicPr>
        <xdr:cNvPr id="18" name="Picture 17">
          <a:extLst>
            <a:ext uri="{FF2B5EF4-FFF2-40B4-BE49-F238E27FC236}">
              <a16:creationId xmlns:a16="http://schemas.microsoft.com/office/drawing/2014/main" id="{3715A2FC-8A8E-4B04-9FDE-8F7F5D26E9F0}"/>
            </a:ext>
          </a:extLst>
        </xdr:cNvPr>
        <xdr:cNvPicPr>
          <a:picLocks noChangeAspect="1"/>
        </xdr:cNvPicPr>
      </xdr:nvPicPr>
      <xdr:blipFill>
        <a:blip xmlns:r="http://schemas.openxmlformats.org/officeDocument/2006/relationships" r:embed="rId6"/>
        <a:stretch>
          <a:fillRect/>
        </a:stretch>
      </xdr:blipFill>
      <xdr:spPr>
        <a:xfrm>
          <a:off x="11320107" y="7384676"/>
          <a:ext cx="528342" cy="405261"/>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0.24139</cdr:x>
      <cdr:y>0.09119</cdr:y>
    </cdr:from>
    <cdr:to>
      <cdr:x>0.74366</cdr:x>
      <cdr:y>0.17498</cdr:y>
    </cdr:to>
    <cdr:sp macro="" textlink="">
      <cdr:nvSpPr>
        <cdr:cNvPr id="2" name="TextBox 1">
          <a:extLst xmlns:a="http://schemas.openxmlformats.org/drawingml/2006/main">
            <a:ext uri="{FF2B5EF4-FFF2-40B4-BE49-F238E27FC236}">
              <a16:creationId xmlns:a16="http://schemas.microsoft.com/office/drawing/2014/main" id="{CCD37E44-25E3-6583-E456-85AFB4871C20}"/>
            </a:ext>
          </a:extLst>
        </cdr:cNvPr>
        <cdr:cNvSpPr txBox="1"/>
      </cdr:nvSpPr>
      <cdr:spPr>
        <a:xfrm xmlns:a="http://schemas.openxmlformats.org/drawingml/2006/main">
          <a:off x="486861" y="478077"/>
          <a:ext cx="1013012" cy="439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0.21917</cdr:x>
      <cdr:y>0.09632</cdr:y>
    </cdr:from>
    <cdr:to>
      <cdr:x>0.73032</cdr:x>
      <cdr:y>0.15617</cdr:y>
    </cdr:to>
    <cdr:sp macro="" textlink="">
      <cdr:nvSpPr>
        <cdr:cNvPr id="3" name="TextBox 2">
          <a:extLst xmlns:a="http://schemas.openxmlformats.org/drawingml/2006/main">
            <a:ext uri="{FF2B5EF4-FFF2-40B4-BE49-F238E27FC236}">
              <a16:creationId xmlns:a16="http://schemas.microsoft.com/office/drawing/2014/main" id="{CCFB5738-2229-743C-76DA-FD1DAE724408}"/>
            </a:ext>
          </a:extLst>
        </cdr:cNvPr>
        <cdr:cNvSpPr txBox="1"/>
      </cdr:nvSpPr>
      <cdr:spPr>
        <a:xfrm xmlns:a="http://schemas.openxmlformats.org/drawingml/2006/main">
          <a:off x="442037" y="504971"/>
          <a:ext cx="1030941" cy="313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567230</xdr:colOff>
      <xdr:row>147</xdr:row>
      <xdr:rowOff>0</xdr:rowOff>
    </xdr:from>
    <xdr:to>
      <xdr:col>5</xdr:col>
      <xdr:colOff>1116505</xdr:colOff>
      <xdr:row>147</xdr:row>
      <xdr:rowOff>0</xdr:rowOff>
    </xdr:to>
    <xdr:sp macro="" textlink="">
      <xdr:nvSpPr>
        <xdr:cNvPr id="2" name="Arrow: Right 1">
          <a:extLst>
            <a:ext uri="{FF2B5EF4-FFF2-40B4-BE49-F238E27FC236}">
              <a16:creationId xmlns:a16="http://schemas.microsoft.com/office/drawing/2014/main" id="{0348FBC0-253B-4AD1-97C3-EA1DF0430547}"/>
            </a:ext>
          </a:extLst>
        </xdr:cNvPr>
        <xdr:cNvSpPr/>
      </xdr:nvSpPr>
      <xdr:spPr>
        <a:xfrm>
          <a:off x="8942880" y="3330575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142</xdr:row>
      <xdr:rowOff>0</xdr:rowOff>
    </xdr:from>
    <xdr:to>
      <xdr:col>5</xdr:col>
      <xdr:colOff>1116505</xdr:colOff>
      <xdr:row>142</xdr:row>
      <xdr:rowOff>0</xdr:rowOff>
    </xdr:to>
    <xdr:sp macro="" textlink="">
      <xdr:nvSpPr>
        <xdr:cNvPr id="3" name="Arrow: Right 2">
          <a:extLst>
            <a:ext uri="{FF2B5EF4-FFF2-40B4-BE49-F238E27FC236}">
              <a16:creationId xmlns:a16="http://schemas.microsoft.com/office/drawing/2014/main" id="{6CA33ED6-7EEA-4F66-BDC1-A68866C88EB6}"/>
            </a:ext>
          </a:extLst>
        </xdr:cNvPr>
        <xdr:cNvSpPr/>
      </xdr:nvSpPr>
      <xdr:spPr>
        <a:xfrm>
          <a:off x="8942880" y="323850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188</xdr:row>
      <xdr:rowOff>0</xdr:rowOff>
    </xdr:from>
    <xdr:to>
      <xdr:col>5</xdr:col>
      <xdr:colOff>1116505</xdr:colOff>
      <xdr:row>188</xdr:row>
      <xdr:rowOff>0</xdr:rowOff>
    </xdr:to>
    <xdr:sp macro="" textlink="">
      <xdr:nvSpPr>
        <xdr:cNvPr id="4" name="Arrow: Right 3">
          <a:extLst>
            <a:ext uri="{FF2B5EF4-FFF2-40B4-BE49-F238E27FC236}">
              <a16:creationId xmlns:a16="http://schemas.microsoft.com/office/drawing/2014/main" id="{F1B51CB1-D580-4E54-8B8D-EFFA829A8166}"/>
            </a:ext>
          </a:extLst>
        </xdr:cNvPr>
        <xdr:cNvSpPr/>
      </xdr:nvSpPr>
      <xdr:spPr>
        <a:xfrm>
          <a:off x="8942880" y="408559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567230</xdr:colOff>
      <xdr:row>109</xdr:row>
      <xdr:rowOff>19050</xdr:rowOff>
    </xdr:from>
    <xdr:to>
      <xdr:col>1</xdr:col>
      <xdr:colOff>1116505</xdr:colOff>
      <xdr:row>109</xdr:row>
      <xdr:rowOff>19050</xdr:rowOff>
    </xdr:to>
    <xdr:sp macro="" textlink="">
      <xdr:nvSpPr>
        <xdr:cNvPr id="5" name="Arrow: Right 4">
          <a:extLst>
            <a:ext uri="{FF2B5EF4-FFF2-40B4-BE49-F238E27FC236}">
              <a16:creationId xmlns:a16="http://schemas.microsoft.com/office/drawing/2014/main" id="{C3393E5A-8A9F-474C-B85C-55B2291420A7}"/>
            </a:ext>
          </a:extLst>
        </xdr:cNvPr>
        <xdr:cNvSpPr/>
      </xdr:nvSpPr>
      <xdr:spPr>
        <a:xfrm>
          <a:off x="1176830" y="25577800"/>
          <a:ext cx="476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344487</xdr:colOff>
      <xdr:row>2</xdr:row>
      <xdr:rowOff>161924</xdr:rowOff>
    </xdr:from>
    <xdr:to>
      <xdr:col>24</xdr:col>
      <xdr:colOff>495300</xdr:colOff>
      <xdr:row>28</xdr:row>
      <xdr:rowOff>171450</xdr:rowOff>
    </xdr:to>
    <xdr:graphicFrame macro="">
      <xdr:nvGraphicFramePr>
        <xdr:cNvPr id="41" name="Chart 7">
          <a:extLst>
            <a:ext uri="{FF2B5EF4-FFF2-40B4-BE49-F238E27FC236}">
              <a16:creationId xmlns:a16="http://schemas.microsoft.com/office/drawing/2014/main" id="{48A82E76-FFF3-466F-9021-9D26393E3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erocarbonshipping.com/cost-calculator/" TargetMode="External"/><Relationship Id="rId2" Type="http://schemas.openxmlformats.org/officeDocument/2006/relationships/hyperlink" Target="https://www.zerocarbonshipping.com/cost-calculator/" TargetMode="External"/><Relationship Id="rId1" Type="http://schemas.openxmlformats.org/officeDocument/2006/relationships/hyperlink" Target="https://www.lr.org/en/knowledge/research-reports/techno-economic-assessment-of-zero-carbon-fue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erocarbonshipping.com/guide-to-the-imo-mid-term-measur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r.org/en/knowledge/research-reports/techno-economic-assessment-of-zero-carbon-fuels/" TargetMode="External"/><Relationship Id="rId13" Type="http://schemas.openxmlformats.org/officeDocument/2006/relationships/hyperlink" Target="https://wwwcdn.imo.org/localresources/en/OurWork/Environment/Documents/annex/MEPC%2081/Annex%2010.pdf" TargetMode="External"/><Relationship Id="rId3" Type="http://schemas.openxmlformats.org/officeDocument/2006/relationships/hyperlink" Target="https://www.zerocarbonshipping.com/cost-calculator/?s=0" TargetMode="External"/><Relationship Id="rId7" Type="http://schemas.openxmlformats.org/officeDocument/2006/relationships/hyperlink" Target="https://www.lr.org/en/knowledge/research-reports/techno-economic-assessment-of-zero-carbon-fuels/" TargetMode="External"/><Relationship Id="rId12" Type="http://schemas.openxmlformats.org/officeDocument/2006/relationships/hyperlink" Target="https://www.zerocarbonshipping.com/cost-calculator/?s=0" TargetMode="External"/><Relationship Id="rId2" Type="http://schemas.openxmlformats.org/officeDocument/2006/relationships/hyperlink" Target="https://www.zerocarbonshipping.com/cost-calculator/?s=0" TargetMode="External"/><Relationship Id="rId1" Type="http://schemas.openxmlformats.org/officeDocument/2006/relationships/hyperlink" Target="https://www.imo.org/en/OurWork/Environment/Pages/Assessment-of-impacts-on-States.aspx" TargetMode="External"/><Relationship Id="rId6" Type="http://schemas.openxmlformats.org/officeDocument/2006/relationships/hyperlink" Target="https://www.zerocarbonshipping.com/cost-calculator/" TargetMode="External"/><Relationship Id="rId11" Type="http://schemas.openxmlformats.org/officeDocument/2006/relationships/hyperlink" Target="https://wwwcdn.imo.org/localresources/en/OurWork/Environment/Documents/annex/MEPC%2081/Annex%2010.pdf" TargetMode="External"/><Relationship Id="rId5" Type="http://schemas.openxmlformats.org/officeDocument/2006/relationships/hyperlink" Target="https://www.zerocarbonshipping.com/cost-calculator/" TargetMode="External"/><Relationship Id="rId10" Type="http://schemas.openxmlformats.org/officeDocument/2006/relationships/hyperlink" Target="https://www.imo.org/en/OurWork/Environment/Pages/Assessment-of-impacts-on-States.aspx" TargetMode="External"/><Relationship Id="rId4" Type="http://schemas.openxmlformats.org/officeDocument/2006/relationships/hyperlink" Target="https://www.zerocarbonshipping.com/cost-calculator/" TargetMode="External"/><Relationship Id="rId9" Type="http://schemas.openxmlformats.org/officeDocument/2006/relationships/hyperlink" Target="https://www.lr.org/en/knowledge/research-reports/techno-economic-assessment-of-zero-carbon-fuel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484-F82A-4B3A-BF67-779135659CF3}">
  <sheetPr>
    <tabColor rgb="FF5E948A"/>
  </sheetPr>
  <dimension ref="A1:AV63"/>
  <sheetViews>
    <sheetView showGridLines="0" topLeftCell="A36" zoomScale="80" zoomScaleNormal="80" workbookViewId="0">
      <selection activeCell="C46" sqref="C46"/>
    </sheetView>
  </sheetViews>
  <sheetFormatPr defaultColWidth="8.81640625" defaultRowHeight="14.5" x14ac:dyDescent="0.35"/>
  <cols>
    <col min="1" max="1" width="3.81640625" style="15" customWidth="1"/>
    <col min="2" max="2" width="44.453125" style="15" customWidth="1"/>
    <col min="3" max="3" width="32" style="14" customWidth="1"/>
    <col min="4" max="5" width="32.1796875" style="15" customWidth="1"/>
    <col min="6" max="6" width="5.81640625" style="15" customWidth="1"/>
    <col min="7" max="7" width="34.1796875" style="15" customWidth="1"/>
    <col min="8" max="8" width="11.54296875" style="15" customWidth="1"/>
    <col min="9" max="13" width="13.54296875" style="15" customWidth="1"/>
    <col min="14" max="14" width="11.81640625" style="15" customWidth="1"/>
    <col min="15" max="18" width="13.54296875" style="15" customWidth="1"/>
    <col min="19" max="22" width="13.81640625" style="15" customWidth="1"/>
    <col min="23" max="26" width="13.1796875" style="15" customWidth="1"/>
    <col min="27" max="27" width="13.54296875" style="15" customWidth="1"/>
    <col min="28" max="28" width="13.1796875" style="15" customWidth="1"/>
    <col min="29" max="31" width="13.54296875" style="15" customWidth="1"/>
    <col min="32" max="32" width="10.81640625" style="15" bestFit="1" customWidth="1"/>
    <col min="33" max="33" width="11.81640625" style="15" bestFit="1" customWidth="1"/>
    <col min="34" max="38" width="10.81640625" style="15" bestFit="1" customWidth="1"/>
    <col min="39" max="16384" width="8.81640625" style="15"/>
  </cols>
  <sheetData>
    <row r="1" spans="1:48" x14ac:dyDescent="0.35">
      <c r="A1" s="55"/>
      <c r="B1" s="56" t="s">
        <v>0</v>
      </c>
      <c r="C1" s="57"/>
      <c r="D1" s="55"/>
      <c r="E1" s="55"/>
      <c r="F1" s="55"/>
      <c r="G1" s="2"/>
      <c r="H1" s="2"/>
      <c r="I1" s="2"/>
      <c r="J1" s="2"/>
      <c r="K1" s="2"/>
      <c r="L1" s="2"/>
      <c r="M1" s="2"/>
      <c r="N1" s="2"/>
      <c r="O1" s="2"/>
      <c r="P1" s="2"/>
      <c r="Q1" s="2"/>
      <c r="R1" s="2"/>
      <c r="S1" s="62"/>
      <c r="T1" s="62"/>
      <c r="U1" s="62"/>
      <c r="V1" s="62"/>
      <c r="W1" s="62"/>
      <c r="X1" s="62"/>
      <c r="Y1" s="62"/>
      <c r="Z1" s="62"/>
      <c r="AA1" s="62"/>
      <c r="AB1" s="62"/>
      <c r="AC1" s="62"/>
      <c r="AD1" s="62"/>
      <c r="AE1" s="64"/>
    </row>
    <row r="2" spans="1:48" ht="35.5" customHeight="1" x14ac:dyDescent="0.35">
      <c r="A2" s="53"/>
      <c r="B2" s="58" t="s">
        <v>283</v>
      </c>
      <c r="C2" s="54"/>
      <c r="D2" s="54"/>
      <c r="E2" s="54"/>
      <c r="F2" s="54"/>
      <c r="G2" s="61" t="s">
        <v>1</v>
      </c>
      <c r="H2" s="2"/>
      <c r="I2" s="2"/>
      <c r="J2" s="2"/>
      <c r="K2" s="2"/>
      <c r="L2" s="2"/>
      <c r="M2" s="2"/>
      <c r="N2" s="2"/>
      <c r="O2" s="2"/>
      <c r="P2" s="2"/>
      <c r="Q2" s="2"/>
      <c r="R2" s="2"/>
      <c r="S2" s="62"/>
      <c r="T2" s="62"/>
      <c r="U2" s="62"/>
      <c r="V2" s="62"/>
      <c r="W2" s="62"/>
      <c r="X2" s="62"/>
      <c r="Y2" s="62"/>
      <c r="Z2" s="62"/>
      <c r="AA2" s="62"/>
      <c r="AB2" s="62"/>
      <c r="AC2" s="62"/>
      <c r="AD2" s="63"/>
      <c r="AE2" s="64"/>
    </row>
    <row r="3" spans="1:48" ht="48.65" customHeight="1" x14ac:dyDescent="0.35">
      <c r="A3" s="52"/>
      <c r="B3" s="150" t="s">
        <v>2</v>
      </c>
      <c r="C3" s="150"/>
      <c r="D3" s="150"/>
      <c r="E3" s="150"/>
      <c r="F3" s="55"/>
      <c r="G3" s="2"/>
      <c r="H3" s="2"/>
      <c r="I3" s="2"/>
      <c r="J3" s="2"/>
      <c r="K3" s="2"/>
      <c r="L3" s="2"/>
      <c r="M3" s="2"/>
      <c r="N3" s="2"/>
      <c r="O3" s="2"/>
      <c r="P3" s="2"/>
      <c r="Q3" s="2"/>
      <c r="R3" s="2"/>
      <c r="S3" s="62"/>
      <c r="T3" s="62"/>
      <c r="U3" s="62"/>
      <c r="V3" s="62"/>
      <c r="W3" s="62"/>
      <c r="X3" s="62"/>
      <c r="Y3" s="62"/>
      <c r="Z3" s="62"/>
      <c r="AA3" s="62"/>
      <c r="AB3" s="62"/>
      <c r="AC3" s="62"/>
      <c r="AD3" s="63"/>
      <c r="AE3" s="64"/>
    </row>
    <row r="4" spans="1:48" ht="44.5" customHeight="1" x14ac:dyDescent="0.35">
      <c r="B4" s="151" t="s">
        <v>3</v>
      </c>
      <c r="C4" s="151"/>
      <c r="D4" s="151"/>
      <c r="E4" s="151"/>
      <c r="G4" s="2"/>
      <c r="H4" s="2"/>
      <c r="I4" s="2"/>
      <c r="J4" s="2"/>
      <c r="K4" s="2"/>
      <c r="L4" s="2"/>
      <c r="M4" s="2"/>
      <c r="N4" s="2"/>
      <c r="O4" s="2"/>
      <c r="P4" s="2"/>
      <c r="Q4" s="2"/>
      <c r="R4" s="2"/>
      <c r="S4" s="62"/>
      <c r="T4" s="62"/>
      <c r="U4" s="62"/>
      <c r="V4" s="62"/>
      <c r="W4" s="62"/>
      <c r="X4" s="62"/>
      <c r="Y4" s="62"/>
      <c r="Z4" s="62"/>
      <c r="AA4" s="62"/>
      <c r="AB4" s="62"/>
      <c r="AC4" s="62"/>
      <c r="AD4" s="63"/>
      <c r="AE4" s="64"/>
    </row>
    <row r="5" spans="1:48" ht="19" customHeight="1" x14ac:dyDescent="0.35">
      <c r="B5" s="153" t="s">
        <v>4</v>
      </c>
      <c r="C5" s="153"/>
      <c r="D5" s="153"/>
      <c r="E5" s="153"/>
      <c r="G5" s="2"/>
      <c r="H5" s="2"/>
      <c r="I5" s="2"/>
      <c r="J5" s="2"/>
      <c r="K5" s="2"/>
      <c r="L5" s="2"/>
      <c r="M5" s="2"/>
      <c r="N5" s="2"/>
      <c r="O5" s="2"/>
      <c r="P5" s="2"/>
      <c r="Q5" s="2"/>
      <c r="R5" s="2"/>
      <c r="S5" s="62"/>
      <c r="T5" s="62"/>
      <c r="U5" s="62"/>
      <c r="V5" s="62"/>
      <c r="W5" s="62"/>
      <c r="X5" s="62"/>
      <c r="Y5" s="62"/>
      <c r="Z5" s="62"/>
      <c r="AA5" s="62"/>
      <c r="AB5" s="62"/>
      <c r="AC5" s="62"/>
      <c r="AD5" s="63"/>
      <c r="AE5" s="64"/>
    </row>
    <row r="6" spans="1:48" ht="67.5" customHeight="1" x14ac:dyDescent="0.35">
      <c r="B6" s="151" t="s">
        <v>5</v>
      </c>
      <c r="C6" s="151"/>
      <c r="D6" s="151"/>
      <c r="E6" s="151"/>
      <c r="G6" s="2"/>
      <c r="H6" s="2"/>
      <c r="I6" s="2"/>
      <c r="J6" s="2"/>
      <c r="K6" s="2"/>
      <c r="L6" s="2"/>
      <c r="M6" s="2"/>
      <c r="N6" s="2"/>
      <c r="O6" s="2"/>
      <c r="P6" s="2"/>
      <c r="Q6" s="2"/>
      <c r="R6" s="2"/>
      <c r="S6" s="62"/>
      <c r="T6" s="62"/>
      <c r="U6" s="62"/>
      <c r="V6" s="62"/>
      <c r="W6" s="62"/>
      <c r="X6" s="62"/>
      <c r="Y6" s="62"/>
      <c r="Z6" s="62"/>
      <c r="AA6" s="62"/>
      <c r="AB6" s="62"/>
      <c r="AC6" s="62"/>
      <c r="AD6" s="62"/>
      <c r="AE6" s="64"/>
    </row>
    <row r="7" spans="1:48" ht="103.5" customHeight="1" x14ac:dyDescent="0.35">
      <c r="B7" s="151" t="s">
        <v>6</v>
      </c>
      <c r="C7" s="151"/>
      <c r="D7" s="151"/>
      <c r="E7" s="151"/>
      <c r="G7" s="2"/>
      <c r="H7" s="2"/>
      <c r="I7" s="2"/>
      <c r="J7" s="2"/>
      <c r="K7" s="2"/>
      <c r="L7" s="2"/>
      <c r="M7" s="2"/>
      <c r="N7" s="2"/>
      <c r="O7" s="2"/>
      <c r="P7" s="2"/>
      <c r="Q7" s="2"/>
      <c r="R7" s="2"/>
      <c r="S7" s="62"/>
      <c r="T7" s="62"/>
      <c r="U7" s="62"/>
      <c r="V7" s="62"/>
      <c r="W7" s="62"/>
      <c r="X7" s="62"/>
      <c r="Y7" s="62"/>
      <c r="Z7" s="62"/>
      <c r="AA7" s="62"/>
      <c r="AB7" s="62"/>
      <c r="AC7" s="62"/>
      <c r="AD7" s="62"/>
      <c r="AE7" s="64"/>
    </row>
    <row r="8" spans="1:48" ht="95.5" customHeight="1" x14ac:dyDescent="0.35">
      <c r="B8" s="151" t="s">
        <v>7</v>
      </c>
      <c r="C8" s="151"/>
      <c r="D8" s="151"/>
      <c r="E8" s="151"/>
      <c r="G8" s="2"/>
      <c r="H8" s="2"/>
      <c r="I8" s="2"/>
      <c r="J8" s="2"/>
      <c r="K8" s="2"/>
      <c r="L8" s="2"/>
      <c r="M8" s="2"/>
      <c r="N8" s="2"/>
      <c r="O8" s="2"/>
      <c r="P8" s="2"/>
      <c r="Q8" s="2"/>
      <c r="R8" s="2"/>
      <c r="S8" s="2"/>
      <c r="T8" s="62"/>
      <c r="U8" s="2"/>
      <c r="V8" s="62"/>
      <c r="W8" s="62"/>
      <c r="X8" s="62"/>
      <c r="Y8" s="62"/>
      <c r="Z8" s="62"/>
      <c r="AA8" s="62"/>
      <c r="AB8" s="62"/>
      <c r="AC8" s="62"/>
      <c r="AD8" s="62"/>
      <c r="AE8" s="64"/>
    </row>
    <row r="9" spans="1:48" ht="37" customHeight="1" x14ac:dyDescent="0.35">
      <c r="B9" s="152" t="s">
        <v>8</v>
      </c>
      <c r="C9" s="152"/>
      <c r="D9" s="152"/>
      <c r="E9" s="152"/>
      <c r="G9" s="2"/>
      <c r="H9" s="2"/>
      <c r="I9" s="2"/>
      <c r="J9" s="2"/>
      <c r="K9" s="2"/>
      <c r="L9" s="2"/>
      <c r="M9" s="2"/>
      <c r="N9" s="2"/>
      <c r="O9" s="2"/>
      <c r="P9" s="2"/>
      <c r="Q9" s="2"/>
      <c r="R9" s="2"/>
      <c r="S9" s="2"/>
      <c r="T9" s="62"/>
      <c r="U9" s="2"/>
      <c r="V9" s="62"/>
      <c r="W9" s="62"/>
      <c r="X9" s="62"/>
      <c r="Y9" s="62"/>
      <c r="Z9" s="62"/>
      <c r="AA9" s="62"/>
      <c r="AB9" s="62"/>
      <c r="AC9" s="62"/>
      <c r="AD9" s="62"/>
      <c r="AE9" s="64"/>
    </row>
    <row r="10" spans="1:48" ht="15.65" customHeight="1" x14ac:dyDescent="0.35">
      <c r="A10" s="12"/>
      <c r="B10" s="50"/>
      <c r="C10" s="50"/>
      <c r="D10" s="50"/>
      <c r="E10" s="50"/>
      <c r="F10" s="50"/>
      <c r="G10" s="2"/>
      <c r="H10" s="2"/>
      <c r="I10" s="2"/>
      <c r="J10" s="2"/>
      <c r="K10" s="2"/>
      <c r="L10" s="2"/>
      <c r="M10" s="2"/>
      <c r="N10" s="2"/>
      <c r="O10" s="2"/>
      <c r="P10" s="2"/>
      <c r="Q10" s="2"/>
      <c r="R10" s="2"/>
      <c r="S10" s="2"/>
      <c r="T10" s="62"/>
      <c r="U10" s="2"/>
      <c r="V10" s="62"/>
      <c r="W10" s="62"/>
      <c r="X10" s="62"/>
      <c r="Y10" s="62"/>
      <c r="Z10" s="62"/>
      <c r="AA10" s="62"/>
      <c r="AB10" s="62"/>
      <c r="AC10" s="62"/>
      <c r="AD10" s="62"/>
      <c r="AE10" s="64"/>
    </row>
    <row r="11" spans="1:48" ht="23.5" x14ac:dyDescent="0.35">
      <c r="A11" s="12"/>
      <c r="B11" s="43" t="s">
        <v>9</v>
      </c>
      <c r="C11" s="12"/>
      <c r="D11" s="12"/>
      <c r="E11" s="12"/>
      <c r="F11" s="12"/>
      <c r="G11" s="2"/>
      <c r="H11" s="2"/>
      <c r="I11" s="2"/>
      <c r="J11" s="2"/>
      <c r="K11" s="2"/>
      <c r="L11" s="2"/>
      <c r="M11" s="2"/>
      <c r="N11" s="2"/>
      <c r="O11" s="2"/>
      <c r="P11" s="2"/>
      <c r="Q11" s="2"/>
      <c r="R11" s="2"/>
      <c r="S11" s="2"/>
      <c r="T11" s="62"/>
      <c r="U11" s="2"/>
      <c r="V11" s="62"/>
      <c r="W11" s="62"/>
      <c r="X11" s="62"/>
      <c r="Y11" s="62"/>
      <c r="Z11" s="62"/>
      <c r="AA11" s="62"/>
      <c r="AB11" s="62"/>
      <c r="AC11" s="62"/>
      <c r="AD11" s="62"/>
      <c r="AE11" s="64"/>
    </row>
    <row r="12" spans="1:48" ht="19" thickBot="1" x14ac:dyDescent="0.4">
      <c r="A12" s="12"/>
      <c r="B12" s="3" t="s">
        <v>10</v>
      </c>
      <c r="C12" s="4"/>
      <c r="D12" s="5" t="s">
        <v>11</v>
      </c>
      <c r="E12" s="4"/>
      <c r="F12" s="4"/>
      <c r="G12" s="2"/>
      <c r="H12" s="2"/>
      <c r="I12" s="2"/>
      <c r="J12" s="2"/>
      <c r="K12" s="2"/>
      <c r="L12" s="2"/>
      <c r="M12" s="2"/>
      <c r="N12" s="2"/>
      <c r="O12" s="2"/>
      <c r="P12" s="2"/>
      <c r="Q12" s="2"/>
      <c r="R12" s="2"/>
      <c r="S12" s="2"/>
      <c r="T12" s="62"/>
      <c r="U12" s="2"/>
      <c r="V12" s="62"/>
      <c r="W12" s="62"/>
      <c r="X12" s="62"/>
      <c r="Y12" s="62"/>
      <c r="Z12" s="62"/>
      <c r="AA12" s="62"/>
      <c r="AB12" s="62"/>
      <c r="AC12" s="72" t="s">
        <v>12</v>
      </c>
      <c r="AD12" s="2"/>
      <c r="AE12" s="64"/>
    </row>
    <row r="13" spans="1:48" ht="19.5" thickTop="1" thickBot="1" x14ac:dyDescent="0.4">
      <c r="A13" s="12"/>
      <c r="B13" s="45" t="s">
        <v>13</v>
      </c>
      <c r="C13" s="41">
        <v>2032</v>
      </c>
      <c r="D13" s="149" t="s">
        <v>14</v>
      </c>
      <c r="E13" s="149"/>
      <c r="F13" s="50"/>
      <c r="G13" s="2"/>
      <c r="H13" s="51"/>
      <c r="I13" s="51"/>
      <c r="J13" s="51"/>
      <c r="K13" s="51"/>
      <c r="L13" s="51"/>
      <c r="M13" s="51"/>
      <c r="N13" s="51"/>
      <c r="O13" s="51"/>
      <c r="P13" s="51"/>
      <c r="Q13" s="51"/>
      <c r="R13" s="2"/>
      <c r="S13" s="2"/>
      <c r="T13" s="62"/>
      <c r="U13" s="2"/>
      <c r="V13" s="62"/>
      <c r="W13" s="62"/>
      <c r="X13" s="62"/>
      <c r="Y13" s="62"/>
      <c r="Z13" s="62"/>
      <c r="AA13" s="62"/>
      <c r="AB13" s="62"/>
      <c r="AC13" s="73" t="s">
        <v>15</v>
      </c>
      <c r="AD13" s="73" t="s">
        <v>16</v>
      </c>
      <c r="AE13" s="64"/>
    </row>
    <row r="14" spans="1:48" ht="19" thickTop="1" x14ac:dyDescent="0.35">
      <c r="A14" s="12"/>
      <c r="B14" s="46"/>
      <c r="C14" s="46"/>
      <c r="D14" s="46"/>
      <c r="E14" s="47"/>
      <c r="F14" s="50"/>
      <c r="G14" s="51"/>
      <c r="H14" s="51"/>
      <c r="I14" s="51"/>
      <c r="J14" s="51"/>
      <c r="K14" s="51"/>
      <c r="L14" s="51"/>
      <c r="M14" s="51"/>
      <c r="N14" s="51"/>
      <c r="O14" s="51"/>
      <c r="P14" s="51"/>
      <c r="Q14" s="51"/>
      <c r="R14" s="2"/>
      <c r="S14" s="2"/>
      <c r="T14" s="62"/>
      <c r="U14" s="2"/>
      <c r="V14" s="62"/>
      <c r="W14" s="62"/>
      <c r="X14" s="62"/>
      <c r="Y14" s="62"/>
      <c r="Z14" s="62"/>
      <c r="AA14" s="62"/>
      <c r="AB14" s="62"/>
      <c r="AC14" s="73" t="s">
        <v>17</v>
      </c>
      <c r="AD14" s="73" t="s">
        <v>18</v>
      </c>
      <c r="AE14" s="64"/>
      <c r="AF14" s="42"/>
      <c r="AG14" s="42"/>
      <c r="AH14" s="42"/>
      <c r="AI14" s="42"/>
      <c r="AJ14" s="42"/>
      <c r="AK14" s="42"/>
      <c r="AL14" s="42"/>
      <c r="AM14" s="42"/>
      <c r="AN14" s="42"/>
      <c r="AO14" s="42"/>
      <c r="AP14" s="42"/>
      <c r="AQ14" s="42"/>
      <c r="AR14" s="42"/>
      <c r="AS14" s="42"/>
      <c r="AT14" s="42"/>
      <c r="AU14" s="42"/>
      <c r="AV14" s="42"/>
    </row>
    <row r="15" spans="1:48" ht="15" customHeight="1" thickBot="1" x14ac:dyDescent="0.4">
      <c r="A15" s="12"/>
      <c r="B15" s="44" t="s">
        <v>19</v>
      </c>
      <c r="C15" s="97"/>
      <c r="D15" s="47"/>
      <c r="E15" s="12"/>
      <c r="F15" s="50"/>
      <c r="G15" s="51"/>
      <c r="H15" s="51"/>
      <c r="I15" s="51"/>
      <c r="J15" s="51"/>
      <c r="K15" s="51"/>
      <c r="L15" s="51"/>
      <c r="M15" s="51"/>
      <c r="N15" s="51"/>
      <c r="O15" s="51"/>
      <c r="P15" s="51"/>
      <c r="Q15" s="51"/>
      <c r="R15" s="2"/>
      <c r="S15" s="2"/>
      <c r="T15" s="62"/>
      <c r="U15" s="2"/>
      <c r="V15" s="62"/>
      <c r="W15" s="62"/>
      <c r="X15" s="62"/>
      <c r="Y15" s="62"/>
      <c r="Z15" s="62"/>
      <c r="AA15" s="62"/>
      <c r="AB15" s="62"/>
      <c r="AC15" s="73" t="s">
        <v>20</v>
      </c>
      <c r="AD15" s="73" t="s">
        <v>21</v>
      </c>
      <c r="AE15" s="64"/>
      <c r="AF15" s="42"/>
      <c r="AG15" s="42"/>
      <c r="AH15" s="42"/>
      <c r="AI15" s="42"/>
      <c r="AJ15" s="42"/>
      <c r="AK15" s="42"/>
      <c r="AL15" s="42"/>
      <c r="AM15" s="42"/>
      <c r="AN15" s="42"/>
      <c r="AO15" s="42"/>
      <c r="AP15" s="42"/>
      <c r="AQ15" s="42"/>
      <c r="AR15" s="42"/>
      <c r="AS15" s="42"/>
      <c r="AT15" s="42"/>
      <c r="AU15" s="42"/>
      <c r="AV15" s="42"/>
    </row>
    <row r="16" spans="1:48" ht="100.5" customHeight="1" thickTop="1" thickBot="1" x14ac:dyDescent="0.4">
      <c r="A16" s="12"/>
      <c r="B16" s="45" t="s">
        <v>22</v>
      </c>
      <c r="C16" s="70" t="s">
        <v>24</v>
      </c>
      <c r="D16" s="154" t="s">
        <v>23</v>
      </c>
      <c r="E16" s="149"/>
      <c r="F16" s="50"/>
      <c r="G16" s="51"/>
      <c r="H16" s="51"/>
      <c r="I16" s="51"/>
      <c r="J16" s="51"/>
      <c r="K16" s="51"/>
      <c r="L16" s="51"/>
      <c r="M16" s="51"/>
      <c r="N16" s="51"/>
      <c r="O16" s="51"/>
      <c r="P16" s="51"/>
      <c r="Q16" s="51"/>
      <c r="R16" s="2"/>
      <c r="S16" s="2"/>
      <c r="T16" s="62"/>
      <c r="U16" s="2"/>
      <c r="V16" s="62"/>
      <c r="W16" s="62"/>
      <c r="X16" s="62"/>
      <c r="Y16" s="62"/>
      <c r="Z16" s="62"/>
      <c r="AA16" s="62"/>
      <c r="AB16" s="62"/>
      <c r="AC16" s="73" t="s">
        <v>24</v>
      </c>
      <c r="AD16" s="73" t="s">
        <v>25</v>
      </c>
      <c r="AE16" s="64"/>
      <c r="AF16" s="42"/>
      <c r="AG16" s="42"/>
      <c r="AH16" s="42"/>
      <c r="AI16" s="42"/>
      <c r="AJ16" s="42"/>
      <c r="AK16" s="42"/>
      <c r="AL16" s="42"/>
      <c r="AM16" s="42"/>
      <c r="AN16" s="42"/>
      <c r="AO16" s="42"/>
      <c r="AP16" s="42"/>
      <c r="AQ16" s="42"/>
      <c r="AR16" s="42"/>
      <c r="AS16" s="42"/>
      <c r="AT16" s="42"/>
      <c r="AU16" s="42"/>
      <c r="AV16" s="42"/>
    </row>
    <row r="17" spans="1:48" ht="19" thickTop="1" x14ac:dyDescent="0.35">
      <c r="A17" s="12"/>
      <c r="B17" s="45"/>
      <c r="C17" s="45"/>
      <c r="D17" s="45"/>
      <c r="E17" s="40"/>
      <c r="F17" s="50"/>
      <c r="G17" s="51"/>
      <c r="H17" s="51"/>
      <c r="I17" s="51"/>
      <c r="J17" s="51"/>
      <c r="K17" s="51"/>
      <c r="L17" s="51"/>
      <c r="M17" s="51"/>
      <c r="N17" s="51"/>
      <c r="O17" s="51"/>
      <c r="P17" s="51"/>
      <c r="Q17" s="51"/>
      <c r="R17" s="2"/>
      <c r="S17" s="2"/>
      <c r="T17" s="62"/>
      <c r="U17" s="2"/>
      <c r="V17" s="62"/>
      <c r="W17" s="62"/>
      <c r="X17" s="62"/>
      <c r="Y17" s="62"/>
      <c r="Z17" s="62"/>
      <c r="AA17" s="62"/>
      <c r="AB17" s="62"/>
      <c r="AC17" s="73" t="s">
        <v>26</v>
      </c>
      <c r="AD17" s="73" t="s">
        <v>27</v>
      </c>
      <c r="AE17" s="64"/>
      <c r="AF17" s="42"/>
      <c r="AG17" s="42"/>
      <c r="AH17" s="42"/>
      <c r="AI17" s="42"/>
      <c r="AJ17" s="42"/>
      <c r="AK17" s="42"/>
      <c r="AL17" s="42"/>
      <c r="AM17" s="42"/>
      <c r="AN17" s="42"/>
      <c r="AO17" s="42"/>
      <c r="AP17" s="42"/>
      <c r="AQ17" s="42"/>
      <c r="AR17" s="42"/>
      <c r="AS17" s="42"/>
      <c r="AT17" s="42"/>
      <c r="AU17" s="42"/>
      <c r="AV17" s="42"/>
    </row>
    <row r="18" spans="1:48" ht="17.149999999999999" customHeight="1" thickBot="1" x14ac:dyDescent="0.4">
      <c r="A18" s="12"/>
      <c r="B18" s="44" t="s">
        <v>28</v>
      </c>
      <c r="C18" s="45"/>
      <c r="D18" s="45"/>
      <c r="E18" s="40"/>
      <c r="F18" s="50"/>
      <c r="G18" s="51"/>
      <c r="H18" s="51"/>
      <c r="I18" s="51"/>
      <c r="J18" s="51"/>
      <c r="K18" s="51"/>
      <c r="L18" s="51"/>
      <c r="M18" s="51"/>
      <c r="N18" s="51"/>
      <c r="O18" s="51"/>
      <c r="P18" s="51"/>
      <c r="Q18" s="51"/>
      <c r="R18" s="2"/>
      <c r="S18" s="2"/>
      <c r="T18" s="62"/>
      <c r="U18" s="2"/>
      <c r="V18" s="62"/>
      <c r="W18" s="62"/>
      <c r="X18" s="62"/>
      <c r="Y18" s="62"/>
      <c r="Z18" s="62"/>
      <c r="AA18" s="62"/>
      <c r="AB18" s="62"/>
      <c r="AC18" s="73" t="s">
        <v>29</v>
      </c>
      <c r="AD18" s="73" t="s">
        <v>30</v>
      </c>
      <c r="AE18" s="64"/>
      <c r="AF18" s="42"/>
      <c r="AG18" s="42"/>
      <c r="AH18" s="42"/>
      <c r="AI18" s="42"/>
      <c r="AJ18" s="42"/>
      <c r="AK18" s="42"/>
      <c r="AL18" s="42"/>
      <c r="AM18" s="42"/>
      <c r="AN18" s="42"/>
      <c r="AO18" s="42"/>
      <c r="AP18" s="42"/>
      <c r="AQ18" s="42"/>
      <c r="AR18" s="42"/>
      <c r="AS18" s="42"/>
      <c r="AT18" s="42"/>
      <c r="AU18" s="42"/>
      <c r="AV18" s="42"/>
    </row>
    <row r="19" spans="1:48" ht="19.5" customHeight="1" thickTop="1" thickBot="1" x14ac:dyDescent="0.4">
      <c r="A19" s="12"/>
      <c r="B19" s="59" t="s">
        <v>31</v>
      </c>
      <c r="C19" s="6" t="s">
        <v>32</v>
      </c>
      <c r="D19" s="148" t="s">
        <v>33</v>
      </c>
      <c r="E19" s="149"/>
      <c r="F19" s="50"/>
      <c r="G19" s="51"/>
      <c r="H19" s="51"/>
      <c r="I19" s="51"/>
      <c r="J19" s="51"/>
      <c r="K19" s="51"/>
      <c r="L19" s="51"/>
      <c r="M19" s="51"/>
      <c r="N19" s="51"/>
      <c r="O19" s="51"/>
      <c r="P19" s="51"/>
      <c r="Q19" s="51"/>
      <c r="R19" s="2"/>
      <c r="S19" s="2"/>
      <c r="T19" s="62"/>
      <c r="U19" s="2"/>
      <c r="V19" s="62"/>
      <c r="W19" s="62"/>
      <c r="X19" s="62"/>
      <c r="Y19" s="62"/>
      <c r="Z19" s="62"/>
      <c r="AA19" s="62"/>
      <c r="AB19" s="62"/>
      <c r="AC19" s="73" t="s">
        <v>34</v>
      </c>
      <c r="AD19" s="73" t="s">
        <v>35</v>
      </c>
      <c r="AE19" s="64"/>
      <c r="AF19" s="48"/>
      <c r="AG19" s="48"/>
      <c r="AH19" s="48"/>
      <c r="AK19" s="48"/>
      <c r="AL19" s="48"/>
      <c r="AM19" s="48"/>
      <c r="AN19" s="48"/>
      <c r="AO19" s="48"/>
    </row>
    <row r="20" spans="1:48" ht="19.5" customHeight="1" thickTop="1" thickBot="1" x14ac:dyDescent="0.4">
      <c r="A20" s="12"/>
      <c r="B20" s="59" t="s">
        <v>36</v>
      </c>
      <c r="C20" s="6" t="s">
        <v>32</v>
      </c>
      <c r="D20" s="148"/>
      <c r="E20" s="149"/>
      <c r="F20" s="50"/>
      <c r="G20" s="51"/>
      <c r="H20" s="51"/>
      <c r="I20" s="51"/>
      <c r="J20" s="51"/>
      <c r="K20" s="51"/>
      <c r="L20" s="51"/>
      <c r="M20" s="51"/>
      <c r="N20" s="51"/>
      <c r="O20" s="51"/>
      <c r="P20" s="51"/>
      <c r="Q20" s="51"/>
      <c r="R20" s="2"/>
      <c r="S20" s="2"/>
      <c r="T20" s="62"/>
      <c r="U20" s="2"/>
      <c r="V20" s="62"/>
      <c r="W20" s="62"/>
      <c r="X20" s="62"/>
      <c r="Y20" s="62"/>
      <c r="Z20" s="62"/>
      <c r="AA20" s="62"/>
      <c r="AB20" s="62"/>
      <c r="AC20" s="73" t="s">
        <v>37</v>
      </c>
      <c r="AD20" s="73" t="s">
        <v>32</v>
      </c>
      <c r="AE20" s="64"/>
      <c r="AF20" s="48"/>
      <c r="AG20" s="48"/>
      <c r="AH20" s="48"/>
      <c r="AK20" s="48"/>
      <c r="AL20" s="48"/>
      <c r="AM20" s="48"/>
      <c r="AN20" s="48"/>
      <c r="AO20" s="48"/>
    </row>
    <row r="21" spans="1:48" ht="19.5" customHeight="1" thickTop="1" thickBot="1" x14ac:dyDescent="0.4">
      <c r="A21" s="12"/>
      <c r="B21" s="59" t="s">
        <v>38</v>
      </c>
      <c r="C21" s="6" t="s">
        <v>39</v>
      </c>
      <c r="D21" s="148"/>
      <c r="E21" s="149"/>
      <c r="F21" s="50"/>
      <c r="G21" s="51"/>
      <c r="H21" s="51"/>
      <c r="I21" s="51"/>
      <c r="J21" s="51"/>
      <c r="K21" s="51"/>
      <c r="L21" s="51"/>
      <c r="M21" s="51"/>
      <c r="N21" s="51"/>
      <c r="O21" s="51"/>
      <c r="P21" s="51"/>
      <c r="Q21" s="51"/>
      <c r="R21" s="2"/>
      <c r="S21" s="2"/>
      <c r="T21" s="62"/>
      <c r="U21" s="2"/>
      <c r="V21" s="62"/>
      <c r="W21" s="62"/>
      <c r="X21" s="62"/>
      <c r="Y21" s="62"/>
      <c r="Z21" s="62"/>
      <c r="AA21" s="62"/>
      <c r="AB21" s="62"/>
      <c r="AC21" s="73" t="s">
        <v>34</v>
      </c>
      <c r="AD21" s="73" t="s">
        <v>40</v>
      </c>
      <c r="AE21" s="64"/>
      <c r="AF21" s="48"/>
      <c r="AG21" s="48"/>
      <c r="AH21" s="48"/>
    </row>
    <row r="22" spans="1:48" ht="17.149999999999999" customHeight="1" thickTop="1" x14ac:dyDescent="0.35">
      <c r="A22" s="12"/>
      <c r="B22" s="45"/>
      <c r="C22" s="45"/>
      <c r="D22" s="45"/>
      <c r="E22" s="40"/>
      <c r="F22" s="50"/>
      <c r="G22" s="51"/>
      <c r="H22" s="51"/>
      <c r="I22" s="51"/>
      <c r="J22" s="51"/>
      <c r="K22" s="51"/>
      <c r="L22" s="51"/>
      <c r="M22" s="51"/>
      <c r="N22" s="51"/>
      <c r="O22" s="51"/>
      <c r="P22" s="51"/>
      <c r="Q22" s="51"/>
      <c r="R22" s="2"/>
      <c r="S22" s="2"/>
      <c r="T22" s="62"/>
      <c r="U22" s="2"/>
      <c r="V22" s="62"/>
      <c r="W22" s="62"/>
      <c r="X22" s="62"/>
      <c r="Y22" s="62"/>
      <c r="Z22" s="62"/>
      <c r="AA22" s="62"/>
      <c r="AB22" s="62"/>
      <c r="AC22" s="73" t="s">
        <v>41</v>
      </c>
      <c r="AD22" s="73" t="s">
        <v>32</v>
      </c>
      <c r="AE22" s="64"/>
      <c r="AF22" s="48"/>
      <c r="AG22" s="48"/>
      <c r="AH22" s="48"/>
    </row>
    <row r="23" spans="1:48" ht="18.5" x14ac:dyDescent="0.35">
      <c r="A23" s="12"/>
      <c r="B23" s="3" t="s">
        <v>42</v>
      </c>
      <c r="C23" s="4"/>
      <c r="D23" s="5" t="s">
        <v>43</v>
      </c>
      <c r="E23" s="4"/>
      <c r="F23" s="4"/>
      <c r="G23" s="51"/>
      <c r="H23" s="51"/>
      <c r="I23" s="51"/>
      <c r="J23" s="51"/>
      <c r="K23" s="51"/>
      <c r="L23" s="51"/>
      <c r="M23" s="51"/>
      <c r="N23" s="51"/>
      <c r="O23" s="51"/>
      <c r="P23" s="51"/>
      <c r="Q23" s="51"/>
      <c r="R23" s="51"/>
      <c r="S23" s="2"/>
      <c r="T23" s="62"/>
      <c r="U23" s="2"/>
      <c r="V23" s="62"/>
      <c r="W23" s="62"/>
      <c r="X23" s="62"/>
      <c r="Y23" s="62"/>
      <c r="Z23" s="62"/>
      <c r="AA23" s="62"/>
      <c r="AB23" s="62"/>
      <c r="AC23" s="73" t="s">
        <v>44</v>
      </c>
      <c r="AD23" s="73" t="s">
        <v>39</v>
      </c>
      <c r="AE23" s="64"/>
    </row>
    <row r="24" spans="1:48" ht="19" thickBot="1" x14ac:dyDescent="0.4">
      <c r="A24" s="12"/>
      <c r="B24" s="44" t="s">
        <v>45</v>
      </c>
      <c r="C24" s="7"/>
      <c r="D24" s="12"/>
      <c r="E24" s="12"/>
      <c r="F24" s="50"/>
      <c r="G24" s="51"/>
      <c r="H24" s="51"/>
      <c r="I24" s="51"/>
      <c r="J24" s="51"/>
      <c r="K24" s="51"/>
      <c r="L24" s="51"/>
      <c r="M24" s="51"/>
      <c r="N24" s="51"/>
      <c r="O24" s="51"/>
      <c r="P24" s="51"/>
      <c r="Q24" s="51"/>
      <c r="R24" s="51"/>
      <c r="S24" s="2"/>
      <c r="T24" s="62"/>
      <c r="U24" s="2"/>
      <c r="V24" s="62"/>
      <c r="W24" s="62"/>
      <c r="X24" s="62"/>
      <c r="Y24" s="62"/>
      <c r="Z24" s="62"/>
      <c r="AA24" s="62"/>
      <c r="AB24" s="62"/>
      <c r="AC24" s="73" t="s">
        <v>46</v>
      </c>
      <c r="AD24" s="73" t="s">
        <v>47</v>
      </c>
      <c r="AE24" s="64"/>
    </row>
    <row r="25" spans="1:48" ht="19.5" thickTop="1" thickBot="1" x14ac:dyDescent="0.4">
      <c r="A25" s="12"/>
      <c r="B25" s="45" t="s">
        <v>48</v>
      </c>
      <c r="C25" s="6" t="s">
        <v>29</v>
      </c>
      <c r="D25" s="60" t="s">
        <v>49</v>
      </c>
      <c r="E25" s="12"/>
      <c r="F25" s="50"/>
      <c r="G25" s="51"/>
      <c r="H25" s="51"/>
      <c r="I25" s="51"/>
      <c r="J25" s="51"/>
      <c r="K25" s="51"/>
      <c r="L25" s="51"/>
      <c r="M25" s="51"/>
      <c r="N25" s="51"/>
      <c r="O25" s="51"/>
      <c r="P25" s="51"/>
      <c r="Q25" s="51"/>
      <c r="R25" s="51"/>
      <c r="S25" s="2"/>
      <c r="T25" s="62"/>
      <c r="U25" s="2"/>
      <c r="V25" s="62"/>
      <c r="W25" s="62"/>
      <c r="X25" s="62"/>
      <c r="Y25" s="62"/>
      <c r="Z25" s="62"/>
      <c r="AA25" s="62"/>
      <c r="AB25" s="62"/>
      <c r="AC25" s="73" t="s">
        <v>34</v>
      </c>
      <c r="AD25" s="73" t="s">
        <v>40</v>
      </c>
      <c r="AE25" s="64"/>
      <c r="AG25" s="49"/>
      <c r="AH25" s="49"/>
      <c r="AI25" s="49"/>
      <c r="AJ25" s="49"/>
      <c r="AK25" s="49"/>
      <c r="AL25" s="49"/>
      <c r="AM25" s="49"/>
      <c r="AN25" s="49"/>
      <c r="AO25" s="49"/>
      <c r="AP25" s="49"/>
      <c r="AQ25" s="49"/>
      <c r="AR25" s="49"/>
    </row>
    <row r="26" spans="1:48" ht="19.5" thickTop="1" thickBot="1" x14ac:dyDescent="0.4">
      <c r="A26" s="12"/>
      <c r="B26" s="45" t="str">
        <f>IF(C25="Enter fixed price","Enter fixed LSFO price [USD/tonne LSFO] -&gt;","")</f>
        <v/>
      </c>
      <c r="C26" s="6">
        <v>510</v>
      </c>
      <c r="D26" s="10"/>
      <c r="E26" s="12"/>
      <c r="F26" s="50"/>
      <c r="G26" s="51"/>
      <c r="H26" s="51"/>
      <c r="I26" s="51"/>
      <c r="J26" s="51"/>
      <c r="K26" s="51"/>
      <c r="L26" s="51"/>
      <c r="M26" s="51"/>
      <c r="N26" s="51"/>
      <c r="O26" s="51"/>
      <c r="P26" s="51"/>
      <c r="Q26" s="51"/>
      <c r="R26" s="74"/>
      <c r="S26" s="2"/>
      <c r="T26" s="62"/>
      <c r="U26" s="2"/>
      <c r="V26" s="62"/>
      <c r="W26" s="62"/>
      <c r="X26" s="62"/>
      <c r="Y26" s="62"/>
      <c r="Z26" s="62"/>
      <c r="AA26" s="62"/>
      <c r="AB26" s="62"/>
      <c r="AC26" s="73" t="s">
        <v>50</v>
      </c>
      <c r="AD26" s="51"/>
      <c r="AE26" s="64"/>
      <c r="AG26" s="49"/>
      <c r="AH26" s="49"/>
      <c r="AI26" s="49"/>
      <c r="AJ26" s="49"/>
      <c r="AK26" s="49"/>
      <c r="AL26" s="49"/>
      <c r="AM26" s="49"/>
      <c r="AN26" s="49"/>
      <c r="AO26" s="49"/>
      <c r="AP26" s="49"/>
      <c r="AQ26" s="49"/>
      <c r="AR26" s="49"/>
    </row>
    <row r="27" spans="1:48" ht="19" thickTop="1" x14ac:dyDescent="0.35">
      <c r="A27" s="12"/>
      <c r="B27" s="46"/>
      <c r="C27" s="12"/>
      <c r="D27" s="12"/>
      <c r="E27" s="12"/>
      <c r="F27" s="50"/>
      <c r="G27" s="51"/>
      <c r="H27" s="51"/>
      <c r="I27" s="51"/>
      <c r="J27" s="51"/>
      <c r="K27" s="51"/>
      <c r="L27" s="51"/>
      <c r="M27" s="51"/>
      <c r="N27" s="51"/>
      <c r="O27" s="51"/>
      <c r="P27" s="51"/>
      <c r="Q27" s="51"/>
      <c r="R27" s="74"/>
      <c r="S27" s="2"/>
      <c r="T27" s="62"/>
      <c r="U27" s="2"/>
      <c r="V27" s="62"/>
      <c r="W27" s="62"/>
      <c r="X27" s="62"/>
      <c r="Y27" s="62"/>
      <c r="Z27" s="62"/>
      <c r="AA27" s="62"/>
      <c r="AB27" s="62"/>
      <c r="AC27" s="73" t="s">
        <v>34</v>
      </c>
      <c r="AD27" s="63"/>
      <c r="AE27" s="64"/>
      <c r="AG27" s="49"/>
      <c r="AH27" s="49"/>
      <c r="AI27" s="49"/>
      <c r="AJ27" s="49"/>
      <c r="AK27" s="49"/>
      <c r="AL27" s="49"/>
      <c r="AM27" s="49"/>
      <c r="AN27" s="49"/>
      <c r="AO27" s="49"/>
      <c r="AP27" s="49"/>
      <c r="AQ27" s="49"/>
      <c r="AR27" s="49"/>
    </row>
    <row r="28" spans="1:48" ht="19" thickBot="1" x14ac:dyDescent="0.4">
      <c r="A28" s="12"/>
      <c r="B28" s="44" t="s">
        <v>51</v>
      </c>
      <c r="C28" s="7"/>
      <c r="D28" s="12"/>
      <c r="E28" s="12"/>
      <c r="F28" s="50"/>
      <c r="G28" s="51"/>
      <c r="H28" s="51"/>
      <c r="I28" s="51"/>
      <c r="J28" s="51"/>
      <c r="K28" s="51"/>
      <c r="L28" s="51"/>
      <c r="M28" s="51"/>
      <c r="N28" s="51"/>
      <c r="O28" s="51"/>
      <c r="P28" s="51"/>
      <c r="Q28" s="51"/>
      <c r="R28" s="74"/>
      <c r="S28" s="2"/>
      <c r="T28" s="62"/>
      <c r="U28" s="2"/>
      <c r="V28" s="62"/>
      <c r="W28" s="62"/>
      <c r="X28" s="62"/>
      <c r="Y28" s="62"/>
      <c r="Z28" s="62"/>
      <c r="AA28" s="62"/>
      <c r="AB28" s="62"/>
      <c r="AC28" s="73" t="s">
        <v>52</v>
      </c>
      <c r="AD28" s="63"/>
      <c r="AE28" s="64"/>
    </row>
    <row r="29" spans="1:48" ht="22.5" customHeight="1" thickTop="1" thickBot="1" x14ac:dyDescent="0.4">
      <c r="A29" s="12"/>
      <c r="B29" s="59" t="s">
        <v>53</v>
      </c>
      <c r="C29" s="9" t="s">
        <v>41</v>
      </c>
      <c r="D29" s="60" t="s">
        <v>54</v>
      </c>
      <c r="E29" s="12"/>
      <c r="F29" s="50"/>
      <c r="G29" s="51"/>
      <c r="H29" s="51"/>
      <c r="I29" s="51"/>
      <c r="J29" s="51"/>
      <c r="K29" s="51"/>
      <c r="L29" s="51"/>
      <c r="M29" s="51"/>
      <c r="N29" s="51"/>
      <c r="O29" s="51"/>
      <c r="P29" s="51"/>
      <c r="Q29" s="51"/>
      <c r="R29" s="74"/>
      <c r="S29" s="2"/>
      <c r="T29" s="62"/>
      <c r="U29" s="2"/>
      <c r="V29" s="62"/>
      <c r="W29" s="62"/>
      <c r="X29" s="62"/>
      <c r="Y29" s="62"/>
      <c r="Z29" s="62"/>
      <c r="AA29" s="62"/>
      <c r="AB29" s="62"/>
      <c r="AC29" s="73" t="s">
        <v>55</v>
      </c>
      <c r="AD29" s="63"/>
      <c r="AE29" s="64"/>
    </row>
    <row r="30" spans="1:48" ht="22.5" customHeight="1" thickTop="1" thickBot="1" x14ac:dyDescent="0.4">
      <c r="A30" s="12"/>
      <c r="B30" s="45" t="str">
        <f>IF(C29="Enter Fixed Price","Enter fixed bio-diesel price [USD/tLSFOeq] -&gt;","")</f>
        <v/>
      </c>
      <c r="C30" s="8">
        <v>800</v>
      </c>
      <c r="D30" s="12"/>
      <c r="E30" s="12"/>
      <c r="F30" s="50"/>
      <c r="G30" s="51"/>
      <c r="H30" s="51"/>
      <c r="I30" s="51"/>
      <c r="J30" s="51"/>
      <c r="K30" s="51"/>
      <c r="L30" s="51"/>
      <c r="M30" s="51"/>
      <c r="N30" s="51"/>
      <c r="O30" s="51"/>
      <c r="P30" s="51"/>
      <c r="Q30" s="51"/>
      <c r="R30" s="74"/>
      <c r="S30" s="2"/>
      <c r="T30" s="62"/>
      <c r="U30" s="2"/>
      <c r="V30" s="62"/>
      <c r="W30" s="62"/>
      <c r="X30" s="62"/>
      <c r="Y30" s="62"/>
      <c r="Z30" s="62"/>
      <c r="AA30" s="62"/>
      <c r="AB30" s="62"/>
      <c r="AC30" s="73" t="s">
        <v>56</v>
      </c>
      <c r="AD30" s="63"/>
      <c r="AE30" s="64"/>
    </row>
    <row r="31" spans="1:48" ht="19" thickTop="1" x14ac:dyDescent="0.35">
      <c r="A31" s="12"/>
      <c r="B31" s="46"/>
      <c r="C31" s="12"/>
      <c r="D31" s="12"/>
      <c r="E31" s="12"/>
      <c r="F31" s="50"/>
      <c r="G31" s="51"/>
      <c r="H31" s="51"/>
      <c r="I31" s="51"/>
      <c r="J31" s="51"/>
      <c r="K31" s="51"/>
      <c r="L31" s="51"/>
      <c r="M31" s="51"/>
      <c r="N31" s="51"/>
      <c r="O31" s="51"/>
      <c r="P31" s="51"/>
      <c r="Q31" s="51"/>
      <c r="R31" s="74"/>
      <c r="S31" s="2"/>
      <c r="T31" s="62"/>
      <c r="U31" s="2"/>
      <c r="V31" s="62"/>
      <c r="W31" s="62"/>
      <c r="X31" s="62"/>
      <c r="Y31" s="62"/>
      <c r="Z31" s="62"/>
      <c r="AA31" s="62"/>
      <c r="AB31" s="62"/>
      <c r="AC31" s="73" t="s">
        <v>57</v>
      </c>
      <c r="AD31" s="63"/>
      <c r="AE31" s="64"/>
      <c r="AG31" s="49"/>
      <c r="AH31" s="49"/>
      <c r="AI31" s="49"/>
      <c r="AJ31" s="49"/>
      <c r="AK31" s="49"/>
      <c r="AL31" s="49"/>
      <c r="AM31" s="49"/>
      <c r="AN31" s="49"/>
      <c r="AO31" s="49"/>
      <c r="AP31" s="49"/>
      <c r="AQ31" s="49"/>
      <c r="AR31" s="49"/>
    </row>
    <row r="32" spans="1:48" ht="19.5" customHeight="1" x14ac:dyDescent="0.35">
      <c r="A32" s="12"/>
      <c r="B32" s="3" t="s">
        <v>58</v>
      </c>
      <c r="C32" s="4"/>
      <c r="D32" s="5" t="s">
        <v>11</v>
      </c>
      <c r="E32" s="4"/>
      <c r="F32" s="4"/>
      <c r="G32" s="51"/>
      <c r="H32" s="51"/>
      <c r="I32" s="51"/>
      <c r="J32" s="51"/>
      <c r="K32" s="51"/>
      <c r="L32" s="51"/>
      <c r="M32" s="51"/>
      <c r="N32" s="51"/>
      <c r="O32" s="51"/>
      <c r="P32" s="51"/>
      <c r="Q32" s="51"/>
      <c r="R32" s="74"/>
      <c r="S32" s="2"/>
      <c r="T32" s="62"/>
      <c r="U32" s="2"/>
      <c r="V32" s="62"/>
      <c r="W32" s="62"/>
      <c r="X32" s="62"/>
      <c r="Y32" s="62"/>
      <c r="Z32" s="62"/>
      <c r="AA32" s="62"/>
      <c r="AB32" s="62"/>
      <c r="AC32" s="73" t="s">
        <v>59</v>
      </c>
      <c r="AD32" s="63"/>
      <c r="AE32" s="64"/>
    </row>
    <row r="33" spans="1:44" ht="19" thickBot="1" x14ac:dyDescent="0.4">
      <c r="A33" s="12"/>
      <c r="B33" s="44" t="s">
        <v>60</v>
      </c>
      <c r="C33" s="7"/>
      <c r="D33" s="12"/>
      <c r="E33" s="12"/>
      <c r="F33" s="50"/>
      <c r="G33" s="51"/>
      <c r="H33" s="51"/>
      <c r="I33" s="51"/>
      <c r="J33" s="51"/>
      <c r="K33" s="51"/>
      <c r="L33" s="51"/>
      <c r="M33" s="51"/>
      <c r="N33" s="51"/>
      <c r="O33" s="51"/>
      <c r="P33" s="51"/>
      <c r="Q33" s="51"/>
      <c r="R33" s="74"/>
      <c r="S33" s="2"/>
      <c r="T33" s="62"/>
      <c r="U33" s="2"/>
      <c r="V33" s="62"/>
      <c r="W33" s="62"/>
      <c r="X33" s="62"/>
      <c r="Y33" s="62"/>
      <c r="Z33" s="62"/>
      <c r="AA33" s="62"/>
      <c r="AB33" s="62"/>
      <c r="AC33" s="73" t="s">
        <v>34</v>
      </c>
      <c r="AD33" s="63"/>
      <c r="AE33" s="64"/>
      <c r="AG33" s="49"/>
      <c r="AH33" s="49"/>
      <c r="AI33" s="49"/>
      <c r="AJ33" s="49"/>
      <c r="AK33" s="49"/>
      <c r="AL33" s="49"/>
      <c r="AM33" s="49"/>
      <c r="AN33" s="49"/>
      <c r="AO33" s="49"/>
      <c r="AP33" s="49"/>
      <c r="AQ33" s="49"/>
      <c r="AR33" s="49"/>
    </row>
    <row r="34" spans="1:44" ht="84" customHeight="1" thickTop="1" thickBot="1" x14ac:dyDescent="0.6">
      <c r="A34" s="12"/>
      <c r="B34" s="44" t="s">
        <v>61</v>
      </c>
      <c r="C34" s="6" t="s">
        <v>55</v>
      </c>
      <c r="D34" s="149" t="s">
        <v>62</v>
      </c>
      <c r="E34" s="149"/>
      <c r="F34" s="50"/>
      <c r="G34" s="71" t="s">
        <v>63</v>
      </c>
      <c r="H34" s="65"/>
      <c r="I34" s="65"/>
      <c r="J34" s="65"/>
      <c r="K34" s="65"/>
      <c r="L34" s="65"/>
      <c r="M34" s="65"/>
      <c r="N34" s="65"/>
      <c r="O34" s="65"/>
      <c r="P34" s="65"/>
      <c r="Q34" s="65"/>
      <c r="R34" s="65"/>
      <c r="S34" s="65"/>
      <c r="T34" s="65"/>
      <c r="U34" s="65"/>
      <c r="V34" s="65"/>
      <c r="W34" s="65"/>
      <c r="X34" s="65"/>
      <c r="Y34" s="65"/>
      <c r="Z34" s="65"/>
      <c r="AA34" s="65"/>
      <c r="AB34" s="65"/>
      <c r="AC34" s="65"/>
      <c r="AD34" s="65"/>
      <c r="AE34" s="64"/>
      <c r="AG34" s="49"/>
      <c r="AH34" s="49"/>
      <c r="AI34" s="49"/>
      <c r="AJ34" s="49"/>
      <c r="AK34" s="49"/>
      <c r="AL34" s="49"/>
      <c r="AM34" s="49"/>
      <c r="AN34" s="49"/>
      <c r="AO34" s="49"/>
      <c r="AP34" s="49"/>
      <c r="AQ34" s="49"/>
      <c r="AR34" s="49"/>
    </row>
    <row r="35" spans="1:44" ht="16.5" thickTop="1" thickBot="1" x14ac:dyDescent="0.4">
      <c r="A35" s="12"/>
      <c r="B35" s="44" t="s">
        <v>64</v>
      </c>
      <c r="C35" s="6" t="s">
        <v>37</v>
      </c>
      <c r="D35" s="60" t="s">
        <v>49</v>
      </c>
      <c r="E35" s="12"/>
      <c r="F35" s="50"/>
      <c r="G35" s="65"/>
      <c r="H35" s="66" t="s">
        <v>65</v>
      </c>
      <c r="I35" s="65"/>
      <c r="J35" s="65"/>
      <c r="K35" s="65"/>
      <c r="L35" s="65"/>
      <c r="M35" s="65"/>
      <c r="N35" s="65"/>
      <c r="O35" s="65"/>
      <c r="P35" s="65"/>
      <c r="Q35" s="65"/>
      <c r="R35" s="65"/>
      <c r="S35" s="65"/>
      <c r="T35" s="65"/>
      <c r="U35" s="65"/>
      <c r="V35" s="65"/>
      <c r="W35" s="65"/>
      <c r="X35" s="65"/>
      <c r="Y35" s="65"/>
      <c r="Z35" s="65"/>
      <c r="AA35" s="65"/>
      <c r="AB35" s="65"/>
      <c r="AC35" s="65"/>
      <c r="AD35" s="65"/>
      <c r="AE35" s="64"/>
    </row>
    <row r="36" spans="1:44" ht="16.5" thickTop="1" thickBot="1" x14ac:dyDescent="0.4">
      <c r="A36" s="12"/>
      <c r="B36" s="45" t="str">
        <f>IF(C35="Enter Fixed Price","Enter fixed LNG price [USD/tLSFOeq] -&gt;","")</f>
        <v/>
      </c>
      <c r="C36" s="6">
        <v>600</v>
      </c>
      <c r="D36" s="10"/>
      <c r="E36" s="12"/>
      <c r="F36" s="50"/>
      <c r="G36" s="66"/>
      <c r="H36" s="66">
        <v>2028</v>
      </c>
      <c r="I36" s="66">
        <v>2029</v>
      </c>
      <c r="J36" s="66">
        <v>2030</v>
      </c>
      <c r="K36" s="66">
        <v>2031</v>
      </c>
      <c r="L36" s="66">
        <v>2032</v>
      </c>
      <c r="M36" s="66">
        <v>2033</v>
      </c>
      <c r="N36" s="66">
        <v>2034</v>
      </c>
      <c r="O36" s="66">
        <v>2035</v>
      </c>
      <c r="P36" s="66">
        <v>2036</v>
      </c>
      <c r="Q36" s="66">
        <v>2037</v>
      </c>
      <c r="R36" s="66">
        <v>2038</v>
      </c>
      <c r="S36" s="66">
        <v>2039</v>
      </c>
      <c r="T36" s="66">
        <v>2040</v>
      </c>
      <c r="U36" s="66">
        <v>2041</v>
      </c>
      <c r="V36" s="66">
        <v>2042</v>
      </c>
      <c r="W36" s="66">
        <v>2043</v>
      </c>
      <c r="X36" s="66">
        <v>2044</v>
      </c>
      <c r="Y36" s="66">
        <v>2045</v>
      </c>
      <c r="Z36" s="66">
        <v>2046</v>
      </c>
      <c r="AA36" s="66">
        <v>2047</v>
      </c>
      <c r="AB36" s="66">
        <v>2048</v>
      </c>
      <c r="AC36" s="66">
        <v>2049</v>
      </c>
      <c r="AD36" s="66">
        <v>2050</v>
      </c>
      <c r="AE36" s="64"/>
    </row>
    <row r="37" spans="1:44" ht="19" customHeight="1" thickTop="1" x14ac:dyDescent="0.35">
      <c r="A37" s="12"/>
      <c r="B37" s="45"/>
      <c r="C37" s="47"/>
      <c r="D37" s="12"/>
      <c r="E37" s="12"/>
      <c r="F37" s="50"/>
      <c r="G37" s="67" t="s">
        <v>66</v>
      </c>
      <c r="H37" s="126">
        <f>Calculations!H64</f>
        <v>686.54734627729408</v>
      </c>
      <c r="I37" s="126">
        <f>Calculations!I64</f>
        <v>698.22540722423264</v>
      </c>
      <c r="J37" s="126">
        <f>Calculations!J64</f>
        <v>713.36505159739556</v>
      </c>
      <c r="K37" s="126">
        <f>Calculations!K64</f>
        <v>775.87163498502537</v>
      </c>
      <c r="L37" s="126">
        <f>Calculations!L64</f>
        <v>844.67767471072193</v>
      </c>
      <c r="M37" s="126">
        <f>Calculations!M64</f>
        <v>919.7831707744856</v>
      </c>
      <c r="N37" s="126">
        <f>Calculations!N64</f>
        <v>990.1306824803886</v>
      </c>
      <c r="O37" s="126">
        <f>Calculations!O64</f>
        <v>1052.8417176804046</v>
      </c>
      <c r="P37" s="126">
        <f>Calculations!P64</f>
        <v>1152.6092736803948</v>
      </c>
      <c r="Q37" s="126">
        <f>Calculations!Q64</f>
        <v>1252.3768296803851</v>
      </c>
      <c r="R37" s="126">
        <f>Calculations!R64</f>
        <v>1352.144385680416</v>
      </c>
      <c r="S37" s="126">
        <f>Calculations!S64</f>
        <v>1451.9119416804062</v>
      </c>
      <c r="T37" s="126">
        <f>Calculations!T64</f>
        <v>1551.6794976803965</v>
      </c>
      <c r="U37" s="126">
        <f>Calculations!U64</f>
        <v>1594.4370216803879</v>
      </c>
      <c r="V37" s="126">
        <f>Calculations!V64</f>
        <v>1637.1945456803896</v>
      </c>
      <c r="W37" s="126">
        <f>Calculations!W64</f>
        <v>1679.9520696803913</v>
      </c>
      <c r="X37" s="126">
        <f>Calculations!X64</f>
        <v>1722.7095936803928</v>
      </c>
      <c r="Y37" s="126">
        <f>Calculations!Y64</f>
        <v>1765.4671176803843</v>
      </c>
      <c r="Z37" s="126">
        <f>Calculations!Z64</f>
        <v>1808.2246416803857</v>
      </c>
      <c r="AA37" s="126">
        <f>Calculations!AA64</f>
        <v>1850.9821656803874</v>
      </c>
      <c r="AB37" s="126">
        <f>Calculations!AB64</f>
        <v>1886.238369680389</v>
      </c>
      <c r="AC37" s="126">
        <f>Calculations!AC64</f>
        <v>1917.7439136803903</v>
      </c>
      <c r="AD37" s="126">
        <f>Calculations!AD64</f>
        <v>1949.2494576803913</v>
      </c>
      <c r="AE37" s="64"/>
    </row>
    <row r="38" spans="1:44" ht="16" thickBot="1" x14ac:dyDescent="0.4">
      <c r="A38" s="12"/>
      <c r="B38" s="44" t="s">
        <v>67</v>
      </c>
      <c r="C38" s="7"/>
      <c r="D38" s="12"/>
      <c r="E38" s="12"/>
      <c r="F38" s="50"/>
      <c r="G38" s="67" t="s">
        <v>58</v>
      </c>
      <c r="H38" s="126">
        <f>Calculations!H84</f>
        <v>540.33186714206431</v>
      </c>
      <c r="I38" s="126">
        <f>Calculations!I84</f>
        <v>507.37524201569801</v>
      </c>
      <c r="J38" s="126">
        <f>Calculations!J84</f>
        <v>472.59423004358536</v>
      </c>
      <c r="K38" s="126">
        <f>Calculations!K84</f>
        <v>488.88901709230475</v>
      </c>
      <c r="L38" s="126">
        <f>Calculations!L84</f>
        <v>505.18380414102398</v>
      </c>
      <c r="M38" s="126">
        <f>Calculations!M84</f>
        <v>562.54576950974342</v>
      </c>
      <c r="N38" s="126">
        <f>Calculations!N84</f>
        <v>625.04868775846273</v>
      </c>
      <c r="O38" s="126">
        <f>Calculations!O84</f>
        <v>687.55160600719796</v>
      </c>
      <c r="P38" s="126">
        <f>Calculations!P84</f>
        <v>786.32746781707328</v>
      </c>
      <c r="Q38" s="126">
        <f>Calculations!Q84</f>
        <v>885.10332962694815</v>
      </c>
      <c r="R38" s="126">
        <f>Calculations!R84</f>
        <v>983.87919143686372</v>
      </c>
      <c r="S38" s="126">
        <f>Calculations!S84</f>
        <v>1082.6550532467386</v>
      </c>
      <c r="T38" s="126">
        <f>Calculations!T84</f>
        <v>1181.4309150566139</v>
      </c>
      <c r="U38" s="126">
        <f>Calculations!U84</f>
        <v>1223.2243769673528</v>
      </c>
      <c r="V38" s="126">
        <f>Calculations!V84</f>
        <v>1265.0178388781021</v>
      </c>
      <c r="W38" s="126">
        <f>Calculations!W84</f>
        <v>1306.8113007888512</v>
      </c>
      <c r="X38" s="126">
        <f>Calculations!X84</f>
        <v>1348.6047626996003</v>
      </c>
      <c r="Y38" s="126">
        <f>Calculations!Y84</f>
        <v>1390.398224610339</v>
      </c>
      <c r="Z38" s="126">
        <f>Calculations!Z84</f>
        <v>1432.3191435356082</v>
      </c>
      <c r="AA38" s="126">
        <f>Calculations!AA84</f>
        <v>1474.2400624608774</v>
      </c>
      <c r="AB38" s="126">
        <f>Calculations!AB84</f>
        <v>1508.6596613861466</v>
      </c>
      <c r="AC38" s="126">
        <f>Calculations!AC84</f>
        <v>1539.3286003114156</v>
      </c>
      <c r="AD38" s="126">
        <f>Calculations!AD84</f>
        <v>1569.9975392366844</v>
      </c>
      <c r="AE38" s="64"/>
    </row>
    <row r="39" spans="1:44" ht="30" customHeight="1" thickTop="1" thickBot="1" x14ac:dyDescent="0.4">
      <c r="A39" s="12"/>
      <c r="B39" s="45" t="s">
        <v>48</v>
      </c>
      <c r="C39" s="9" t="s">
        <v>50</v>
      </c>
      <c r="D39" s="149" t="s">
        <v>68</v>
      </c>
      <c r="E39" s="149"/>
      <c r="F39" s="50"/>
      <c r="G39" s="67" t="s">
        <v>69</v>
      </c>
      <c r="H39" s="126">
        <f>Calculations!H105</f>
        <v>732.54956262407654</v>
      </c>
      <c r="I39" s="126">
        <f>Calculations!I105</f>
        <v>745.27705435222913</v>
      </c>
      <c r="J39" s="126">
        <f>Calculations!J105</f>
        <v>755.66479553038846</v>
      </c>
      <c r="K39" s="126">
        <f>Calculations!K105</f>
        <v>816.03608018038847</v>
      </c>
      <c r="L39" s="126">
        <f>Calculations!L105</f>
        <v>876.40736483038859</v>
      </c>
      <c r="M39" s="126">
        <f>Calculations!M105</f>
        <v>936.77864948038859</v>
      </c>
      <c r="N39" s="126">
        <f>Calculations!N105</f>
        <v>997.1499341303886</v>
      </c>
      <c r="O39" s="126">
        <f>Calculations!O105</f>
        <v>1057.5212187804045</v>
      </c>
      <c r="P39" s="126">
        <f>Calculations!P105</f>
        <v>1156.5868496153948</v>
      </c>
      <c r="Q39" s="126">
        <f>Calculations!Q105</f>
        <v>1255.6524804503852</v>
      </c>
      <c r="R39" s="126">
        <f>Calculations!R105</f>
        <v>1354.7181112854159</v>
      </c>
      <c r="S39" s="126">
        <f>Calculations!S105</f>
        <v>1453.7837421204063</v>
      </c>
      <c r="T39" s="126">
        <f>Calculations!T105</f>
        <v>1552.8493729553966</v>
      </c>
      <c r="U39" s="126">
        <f>Calculations!U105</f>
        <v>1595.5133069333879</v>
      </c>
      <c r="V39" s="126">
        <f>Calculations!V105</f>
        <v>1638.1772409113896</v>
      </c>
      <c r="W39" s="126">
        <f>Calculations!W105</f>
        <v>1680.8411748893914</v>
      </c>
      <c r="X39" s="126">
        <f>Calculations!X105</f>
        <v>1723.5051088673929</v>
      </c>
      <c r="Y39" s="126">
        <f>Calculations!Y105</f>
        <v>1766.1690428453842</v>
      </c>
      <c r="Z39" s="126">
        <f>Calculations!Z105</f>
        <v>1808.8329768233857</v>
      </c>
      <c r="AA39" s="126">
        <f>Calculations!AA105</f>
        <v>1851.4969108013875</v>
      </c>
      <c r="AB39" s="126">
        <f>Calculations!AB105</f>
        <v>1886.6595247793891</v>
      </c>
      <c r="AC39" s="126">
        <f>Calculations!AC105</f>
        <v>1918.0714787573902</v>
      </c>
      <c r="AD39" s="126">
        <f>Calculations!AD105</f>
        <v>1949.4834327353913</v>
      </c>
      <c r="AE39" s="64"/>
    </row>
    <row r="40" spans="1:44" ht="16.5" thickTop="1" thickBot="1" x14ac:dyDescent="0.4">
      <c r="A40" s="12"/>
      <c r="B40" s="45" t="str">
        <f>IF(C39="Enter Fixed Price","Enter fixed bio-methane price [USD/tLSFOeq] -&gt;","")</f>
        <v/>
      </c>
      <c r="C40" s="8">
        <v>1500</v>
      </c>
      <c r="D40" s="10"/>
      <c r="E40" s="12"/>
      <c r="F40" s="50"/>
      <c r="G40" s="67" t="s">
        <v>70</v>
      </c>
      <c r="H40" s="126">
        <f>Calculations!H120</f>
        <v>603.6979829278705</v>
      </c>
      <c r="I40" s="126">
        <f>Calculations!I120</f>
        <v>562.98012200040466</v>
      </c>
      <c r="J40" s="126">
        <f>Calculations!J120</f>
        <v>609.44034449916285</v>
      </c>
      <c r="K40" s="126">
        <f>Calculations!K120</f>
        <v>699.27099459099963</v>
      </c>
      <c r="L40" s="126">
        <f>Calculations!L120</f>
        <v>795.40110102090284</v>
      </c>
      <c r="M40" s="126">
        <f>Calculations!M120</f>
        <v>897.83066378887315</v>
      </c>
      <c r="N40" s="126">
        <f>Calculations!N120</f>
        <v>1026.5065087999999</v>
      </c>
      <c r="O40" s="126">
        <f>Calculations!O120</f>
        <v>1172.934044000016</v>
      </c>
      <c r="P40" s="126">
        <f>Calculations!P120</f>
        <v>1297.8165500000061</v>
      </c>
      <c r="Q40" s="126">
        <f>Calculations!Q120</f>
        <v>1422.6990559999965</v>
      </c>
      <c r="R40" s="126">
        <f>Calculations!R120</f>
        <v>1547.5815620000271</v>
      </c>
      <c r="S40" s="126">
        <f>Calculations!S120</f>
        <v>1672.4640680000177</v>
      </c>
      <c r="T40" s="126">
        <f>Calculations!T120</f>
        <v>1797.3465740000079</v>
      </c>
      <c r="U40" s="126">
        <f>Calculations!U120</f>
        <v>1843.4527579999994</v>
      </c>
      <c r="V40" s="126">
        <f>Calculations!V120</f>
        <v>1889.558942000001</v>
      </c>
      <c r="W40" s="126">
        <f>Calculations!W120</f>
        <v>1935.6651260000028</v>
      </c>
      <c r="X40" s="126">
        <f>Calculations!X120</f>
        <v>1974.229790000001</v>
      </c>
      <c r="Y40" s="126">
        <f>Calculations!Y120</f>
        <v>1988.8304299999988</v>
      </c>
      <c r="Z40" s="126">
        <f>Calculations!Z120</f>
        <v>2003.4310699999992</v>
      </c>
      <c r="AA40" s="126">
        <f>Calculations!AA120</f>
        <v>2018.0317099999997</v>
      </c>
      <c r="AB40" s="126">
        <f>Calculations!AB120</f>
        <v>2025.1310299999998</v>
      </c>
      <c r="AC40" s="126">
        <f>Calculations!AC120</f>
        <v>2057.0249060000015</v>
      </c>
      <c r="AD40" s="126">
        <f>Calculations!AD120</f>
        <v>2091.8791100000026</v>
      </c>
      <c r="AE40" s="64"/>
    </row>
    <row r="41" spans="1:44" ht="15.65" customHeight="1" thickTop="1" x14ac:dyDescent="0.35">
      <c r="A41" s="12"/>
      <c r="B41" s="46"/>
      <c r="C41" s="12"/>
      <c r="D41" s="12"/>
      <c r="E41" s="12"/>
      <c r="F41" s="50"/>
      <c r="G41" s="65"/>
      <c r="H41" s="65"/>
      <c r="I41" s="65"/>
      <c r="J41" s="65"/>
      <c r="K41" s="65"/>
      <c r="L41" s="65"/>
      <c r="M41" s="65"/>
      <c r="N41" s="65"/>
      <c r="O41" s="65"/>
      <c r="P41" s="65"/>
      <c r="Q41" s="65"/>
      <c r="R41" s="65"/>
      <c r="S41" s="65"/>
      <c r="T41" s="65"/>
      <c r="U41" s="65"/>
      <c r="V41" s="65"/>
      <c r="W41" s="65"/>
      <c r="X41" s="65"/>
      <c r="Y41" s="65"/>
      <c r="Z41" s="65"/>
      <c r="AA41" s="65"/>
      <c r="AB41" s="65"/>
      <c r="AC41" s="65"/>
      <c r="AD41" s="65"/>
      <c r="AE41" s="64"/>
    </row>
    <row r="42" spans="1:44" ht="18.5" x14ac:dyDescent="0.35">
      <c r="A42" s="12"/>
      <c r="B42" s="3" t="s">
        <v>71</v>
      </c>
      <c r="C42" s="4"/>
      <c r="D42" s="5" t="s">
        <v>72</v>
      </c>
      <c r="E42" s="4"/>
      <c r="F42" s="4"/>
      <c r="G42" s="68" t="str">
        <f>$C$13&amp;" - "&amp;G37</f>
        <v>2032 - Strategy 1: LSFO + bio-diesel (base case)</v>
      </c>
      <c r="H42" s="65"/>
      <c r="I42" s="65"/>
      <c r="J42" s="68" t="str">
        <f>$C$13&amp;" - "&amp;G38</f>
        <v>2032 - Strategy 2: LNG + bio-methane</v>
      </c>
      <c r="K42" s="65"/>
      <c r="L42" s="65"/>
      <c r="M42" s="68" t="str">
        <f>$C$13&amp;" - "&amp;G39</f>
        <v>2032 - Strategy 3: LSFO + ZNZ</v>
      </c>
      <c r="N42" s="65"/>
      <c r="O42" s="65"/>
      <c r="P42" s="68" t="str">
        <f>$C$13&amp;" - "&amp;G40</f>
        <v>2032 - Strategy 4: 100% ZNZ</v>
      </c>
      <c r="Q42" s="65"/>
      <c r="R42" s="69"/>
      <c r="S42" s="65"/>
      <c r="T42" s="65"/>
      <c r="U42" s="65"/>
      <c r="V42" s="65"/>
      <c r="W42" s="65"/>
      <c r="X42" s="65"/>
      <c r="Y42" s="65"/>
      <c r="Z42" s="65"/>
      <c r="AA42" s="65"/>
      <c r="AB42" s="65"/>
      <c r="AC42" s="65"/>
      <c r="AD42" s="65"/>
      <c r="AE42" s="64"/>
    </row>
    <row r="43" spans="1:44" ht="19" thickBot="1" x14ac:dyDescent="0.4">
      <c r="A43" s="12"/>
      <c r="B43" s="44" t="s">
        <v>73</v>
      </c>
      <c r="C43" s="138" t="str">
        <f>IF(AND(C13&lt;2035,C44="Enter my own",C45&gt;19),"Warning: Chosen ZNZ emission factor exceeds the 19gCO2eq/MJ threshold and is ineligible for rewards",IF(AND(C13&gt;2034,C44="Enter my own",C45&gt;14),"Warning: Chosen ZNZ emission factor exceeds the 14gCO2eq/MJ threshold and is ineligible for rewards",""))</f>
        <v/>
      </c>
      <c r="D43" s="12"/>
      <c r="E43" s="12"/>
      <c r="F43" s="50"/>
      <c r="G43" s="99" t="s">
        <v>74</v>
      </c>
      <c r="H43" s="98">
        <f>INDEX(Calculations!$C$51:$AD$64,MATCH(G43,Calculations!$C$51:$C$64,0),MATCH($C$13,Calculations!$C$51:$AD$51,0))</f>
        <v>540.94368932038833</v>
      </c>
      <c r="I43" s="99"/>
      <c r="J43" s="99" t="s">
        <v>75</v>
      </c>
      <c r="K43" s="98">
        <f>INDEX(Calculations!$C$68:$AD$84,MATCH(J43,Calculations!$C$68:$C$84,0),MATCH($C$13,Calculations!$C$68:$AD$68,0))</f>
        <v>458.261278741024</v>
      </c>
      <c r="L43" s="99"/>
      <c r="M43" s="99" t="s">
        <v>74</v>
      </c>
      <c r="N43" s="98">
        <f>INDEX(Calculations!$C$88:$AD$105,MATCH(M43,Calculations!$C$88:$C$105,0),MATCH($C$13,Calculations!$C$88:$AD$88,0))</f>
        <v>540.94368932038833</v>
      </c>
      <c r="O43" s="99"/>
      <c r="P43" s="99" t="s">
        <v>76</v>
      </c>
      <c r="Q43" s="98">
        <f>INDEX(Calculations!$C$109:$AD$120,MATCH(P43,Calculations!$C$109:$C$120,0),MATCH($C$13,Calculations!$C$109:$AD$109,0))</f>
        <v>1999.9999999999998</v>
      </c>
      <c r="R43" s="69"/>
      <c r="S43" s="65"/>
      <c r="T43" s="65"/>
      <c r="U43" s="65"/>
      <c r="V43" s="65"/>
      <c r="W43" s="65"/>
      <c r="X43" s="65"/>
      <c r="Y43" s="65"/>
      <c r="Z43" s="65"/>
      <c r="AA43" s="65"/>
      <c r="AB43" s="65"/>
      <c r="AC43" s="65"/>
      <c r="AD43" s="65"/>
      <c r="AE43" s="64"/>
    </row>
    <row r="44" spans="1:44" ht="23.15" customHeight="1" thickTop="1" thickBot="1" x14ac:dyDescent="0.4">
      <c r="A44" s="12"/>
      <c r="B44" s="45" t="s">
        <v>77</v>
      </c>
      <c r="C44" s="6" t="s">
        <v>40</v>
      </c>
      <c r="D44" s="148" t="s">
        <v>78</v>
      </c>
      <c r="E44" s="149"/>
      <c r="F44" s="50"/>
      <c r="G44" s="99" t="s">
        <v>79</v>
      </c>
      <c r="H44" s="98">
        <f>INDEX(Calculations!$C$51:$AD$64,MATCH(G44,Calculations!$C$51:$C$64,0),MATCH($C$13,Calculations!$C$51:$AD$51,0))</f>
        <v>254.97540539033372</v>
      </c>
      <c r="I44" s="99"/>
      <c r="J44" s="99" t="s">
        <v>80</v>
      </c>
      <c r="K44" s="98">
        <f>INDEX(Calculations!$C$68:$AD$84,MATCH(J44,Calculations!$C$68:$C$84,0),MATCH($C$13,Calculations!$C$68:$AD$68,0))</f>
        <v>0</v>
      </c>
      <c r="L44" s="99"/>
      <c r="M44" s="99" t="s">
        <v>81</v>
      </c>
      <c r="N44" s="98">
        <f>INDEX(Calculations!$C$88:$AD$105,MATCH(M44,Calculations!$C$88:$C$105,0),MATCH($C$13,Calculations!$C$88:$AD$88,0))</f>
        <v>275.00634276000022</v>
      </c>
      <c r="O44" s="99"/>
      <c r="P44" s="99" t="s">
        <v>82</v>
      </c>
      <c r="Q44" s="98">
        <f>Q43-Q47-Q48</f>
        <v>795.40110102090284</v>
      </c>
      <c r="R44" s="69"/>
      <c r="S44" s="65"/>
      <c r="T44" s="65"/>
      <c r="U44" s="65"/>
      <c r="V44" s="65"/>
      <c r="W44" s="65"/>
      <c r="X44" s="65"/>
      <c r="Y44" s="65"/>
      <c r="Z44" s="65"/>
      <c r="AA44" s="65"/>
      <c r="AB44" s="65"/>
      <c r="AC44" s="65"/>
      <c r="AD44" s="65"/>
      <c r="AE44" s="64"/>
    </row>
    <row r="45" spans="1:44" ht="30.65" customHeight="1" thickTop="1" thickBot="1" x14ac:dyDescent="0.4">
      <c r="A45" s="12"/>
      <c r="B45" s="45" t="str">
        <f>IF(C44="Enter fixed price","Enter fixed LSFO price [USD/tonne LSFO] -&gt;","")</f>
        <v/>
      </c>
      <c r="C45" s="6">
        <v>10</v>
      </c>
      <c r="D45" s="148" t="str">
        <f>IF(C44="Enter my own","To be eligible for rewards the ZNZ fuel must be below the threshold (19 gCO2e/MJ before 2035, and 14 gCO2e/MJ after)","")</f>
        <v>To be eligible for rewards the ZNZ fuel must be below the threshold (19 gCO2e/MJ before 2035, and 14 gCO2e/MJ after)</v>
      </c>
      <c r="E45" s="149"/>
      <c r="F45" s="50"/>
      <c r="G45" s="99" t="s">
        <v>83</v>
      </c>
      <c r="H45" s="98">
        <f>INDEX(Calculations!$C$51:$AD$64,MATCH(G45,Calculations!$C$51:$C$64,0),MATCH($C$13,Calculations!$C$51:$AD$51,0))</f>
        <v>48.758579999999959</v>
      </c>
      <c r="I45" s="99"/>
      <c r="J45" s="99" t="s">
        <v>84</v>
      </c>
      <c r="K45" s="98">
        <f>INDEX(Calculations!$C$68:$AD$84,MATCH(J45,Calculations!$C$68:$C$84,0),MATCH($C$13,Calculations!$C$68:$AD$68,0))</f>
        <v>46.922525399999984</v>
      </c>
      <c r="L45" s="99"/>
      <c r="M45" s="99" t="s">
        <v>85</v>
      </c>
      <c r="N45" s="98">
        <f>INDEX(Calculations!$C$88:$AD$105,MATCH(M45,Calculations!$C$88:$C$105,0),MATCH($C$13,Calculations!$C$88:$AD$88,0))</f>
        <v>48.758579999999959</v>
      </c>
      <c r="O45" s="99"/>
      <c r="P45" s="99" t="s">
        <v>86</v>
      </c>
      <c r="Q45" s="98">
        <f>INDEX(Calculations!$C$109:$AD$120,MATCH(P45,Calculations!$C$109:$C$120,0),MATCH($C$13,Calculations!$C$109:$AD$109,0))</f>
        <v>0</v>
      </c>
      <c r="R45" s="69"/>
      <c r="S45" s="65"/>
      <c r="T45" s="65"/>
      <c r="U45" s="65"/>
      <c r="V45" s="65"/>
      <c r="W45" s="65"/>
      <c r="X45" s="65"/>
      <c r="Y45" s="65"/>
      <c r="Z45" s="65"/>
      <c r="AA45" s="65"/>
      <c r="AB45" s="65"/>
      <c r="AC45" s="65"/>
      <c r="AD45" s="65"/>
      <c r="AE45" s="64"/>
    </row>
    <row r="46" spans="1:44" ht="34.5" customHeight="1" thickTop="1" thickBot="1" x14ac:dyDescent="0.4">
      <c r="A46" s="12"/>
      <c r="B46" s="45" t="s">
        <v>87</v>
      </c>
      <c r="C46" s="9" t="s">
        <v>34</v>
      </c>
      <c r="D46" s="148" t="s">
        <v>88</v>
      </c>
      <c r="E46" s="149"/>
      <c r="F46" s="50"/>
      <c r="G46" s="100" t="s">
        <v>89</v>
      </c>
      <c r="H46" s="98">
        <f>INDEX(Calculations!$C$51:$AD$64,MATCH(G46,Calculations!$C$51:$C$64,0),MATCH($C$13,Calculations!$C$51:$AD$51,0))</f>
        <v>844.67767471072193</v>
      </c>
      <c r="I46" s="99"/>
      <c r="J46" s="100" t="s">
        <v>90</v>
      </c>
      <c r="K46" s="98">
        <f>INDEX(Calculations!$C$68:$AD$84,MATCH(J46,Calculations!$C$68:$C$84,0),MATCH($C$13,Calculations!$C$68:$AD$68,0))</f>
        <v>0</v>
      </c>
      <c r="L46" s="99"/>
      <c r="M46" s="100" t="s">
        <v>91</v>
      </c>
      <c r="N46" s="98">
        <f>INDEX(Calculations!$C$88:$AD$105,MATCH(M46,Calculations!$C$88:$C$105,0),MATCH($C$13,Calculations!$C$88:$AD$88,0))</f>
        <v>11.698752750000049</v>
      </c>
      <c r="O46" s="99"/>
      <c r="P46" s="99" t="s">
        <v>92</v>
      </c>
      <c r="Q46" s="98">
        <f>INDEX(Calculations!$C$109:$AD$120,MATCH(P46,Calculations!$C$109:$C$120,0),MATCH($C$13,Calculations!$C$109:$AD$109,0))</f>
        <v>0</v>
      </c>
      <c r="R46" s="69"/>
      <c r="S46" s="65"/>
      <c r="T46" s="65"/>
      <c r="U46" s="65"/>
      <c r="V46" s="65"/>
      <c r="W46" s="65"/>
      <c r="X46" s="65"/>
      <c r="Y46" s="65"/>
      <c r="Z46" s="65"/>
      <c r="AA46" s="65"/>
      <c r="AB46" s="65"/>
      <c r="AC46" s="65"/>
      <c r="AD46" s="65"/>
      <c r="AE46" s="64"/>
    </row>
    <row r="47" spans="1:44" ht="24" customHeight="1" thickTop="1" thickBot="1" x14ac:dyDescent="0.4">
      <c r="A47" s="12"/>
      <c r="B47" s="12"/>
      <c r="C47" s="6">
        <v>2000</v>
      </c>
      <c r="D47" s="148" t="str">
        <f>IF(C46="Enter fixed price","A fixed price assumes one price through 2050, reflecting a long-term 22 year offtake agreement","")</f>
        <v>A fixed price assumes one price through 2050, reflecting a long-term 22 year offtake agreement</v>
      </c>
      <c r="E47" s="149"/>
      <c r="F47" s="50"/>
      <c r="G47" s="101" t="str">
        <f>G46&amp;" = "&amp;ROUND(H46,0)&amp;" USD/tLSFOeq"</f>
        <v>Total S1 = 845 USD/tLSFOeq</v>
      </c>
      <c r="H47" s="99"/>
      <c r="I47" s="99"/>
      <c r="J47" s="99" t="s">
        <v>93</v>
      </c>
      <c r="K47" s="98">
        <f>INDEX(Calculations!$C$68:$AD$84,MATCH(J47,Calculations!$C$68:$C$84,0),MATCH($C$13,Calculations!$C$68:$AD$68,0))</f>
        <v>505.18380414102398</v>
      </c>
      <c r="L47" s="99"/>
      <c r="M47" s="99" t="s">
        <v>94</v>
      </c>
      <c r="N47" s="98">
        <f>INDEX(Calculations!$C$88:$AD$105,MATCH(M47,Calculations!$C$88:$C$105,0),MATCH($C$13,Calculations!$C$88:$AD$88,0))</f>
        <v>876.40736483038859</v>
      </c>
      <c r="O47" s="99"/>
      <c r="P47" s="99" t="s">
        <v>90</v>
      </c>
      <c r="Q47" s="98">
        <f>ABS(INDEX(Calculations!$C$109:$AD$120,MATCH(P47,Calculations!$C$109:$C$120,0),MATCH($C$13,Calculations!$C$109:$AD$109,0)))</f>
        <v>786.01639897909683</v>
      </c>
      <c r="R47" s="69"/>
      <c r="S47" s="65"/>
      <c r="T47" s="65"/>
      <c r="U47" s="65"/>
      <c r="V47" s="65"/>
      <c r="W47" s="65"/>
      <c r="X47" s="65"/>
      <c r="Y47" s="65"/>
      <c r="Z47" s="65"/>
      <c r="AA47" s="65"/>
      <c r="AB47" s="65"/>
      <c r="AC47" s="65"/>
      <c r="AD47" s="65"/>
      <c r="AE47" s="64"/>
    </row>
    <row r="48" spans="1:44" s="16" customFormat="1" ht="18.649999999999999" customHeight="1" thickTop="1" x14ac:dyDescent="0.35">
      <c r="A48" s="11"/>
      <c r="B48" s="12"/>
      <c r="C48" s="12"/>
      <c r="D48" s="12"/>
      <c r="E48" s="12"/>
      <c r="F48" s="50"/>
      <c r="G48" s="99"/>
      <c r="H48" s="99"/>
      <c r="I48" s="99"/>
      <c r="J48" s="101" t="str">
        <f>J47&amp;" = "&amp;ROUND(K47,0)&amp;" USD/tLSFOeq"</f>
        <v>Total S2 = 505 USD/tLSFOeq</v>
      </c>
      <c r="K48" s="102"/>
      <c r="L48" s="99"/>
      <c r="M48" s="101" t="str">
        <f>M47&amp;" = "&amp;ROUND(N47,0)&amp;" USD/tLSFOeq"</f>
        <v>Total S3 = 876 USD/tLSFOeq</v>
      </c>
      <c r="N48" s="99"/>
      <c r="O48" s="99"/>
      <c r="P48" s="99" t="s">
        <v>91</v>
      </c>
      <c r="Q48" s="98">
        <f>ABS(INDEX(Calculations!$C$109:$AD$120,MATCH(P48,Calculations!$C$109:$C$120,0),MATCH($C$13,Calculations!$C$109:$AD$109,0)))</f>
        <v>418.58249999999998</v>
      </c>
      <c r="R48" s="69"/>
      <c r="S48" s="65"/>
      <c r="T48" s="65"/>
      <c r="U48" s="65"/>
      <c r="V48" s="65"/>
      <c r="W48" s="65"/>
      <c r="X48" s="65"/>
      <c r="Y48" s="65"/>
      <c r="Z48" s="65"/>
      <c r="AA48" s="65"/>
      <c r="AB48" s="65"/>
      <c r="AC48" s="65"/>
      <c r="AD48" s="65"/>
      <c r="AE48" s="64"/>
      <c r="AF48" s="15"/>
    </row>
    <row r="49" spans="1:31" s="16" customFormat="1" ht="33.65" customHeight="1" x14ac:dyDescent="0.35">
      <c r="A49" s="12"/>
      <c r="B49" s="12"/>
      <c r="C49" s="12"/>
      <c r="D49" s="12"/>
      <c r="E49" s="12"/>
      <c r="F49" s="12"/>
      <c r="G49" s="99"/>
      <c r="H49" s="99"/>
      <c r="I49" s="99"/>
      <c r="J49" s="103"/>
      <c r="K49" s="103"/>
      <c r="L49" s="99"/>
      <c r="M49" s="103"/>
      <c r="N49" s="103"/>
      <c r="O49" s="99"/>
      <c r="P49" s="99" t="s">
        <v>95</v>
      </c>
      <c r="Q49" s="98">
        <f>INDEX(Calculations!$C$109:$AD$120,MATCH(P49,Calculations!$C$109:$C$120,0),MATCH($C$13,Calculations!$C$109:$AD$109,0))</f>
        <v>795.40110102090284</v>
      </c>
      <c r="R49" s="69"/>
      <c r="S49" s="69"/>
      <c r="T49" s="69"/>
      <c r="U49" s="69"/>
      <c r="V49" s="69"/>
      <c r="W49" s="69"/>
      <c r="X49" s="69"/>
      <c r="Y49" s="69"/>
      <c r="Z49" s="69"/>
      <c r="AA49" s="69"/>
      <c r="AB49" s="69"/>
      <c r="AC49" s="69"/>
      <c r="AD49" s="69"/>
      <c r="AE49" s="69"/>
    </row>
    <row r="50" spans="1:31" ht="29.5" customHeight="1" x14ac:dyDescent="0.35">
      <c r="A50" s="12"/>
      <c r="B50" s="12"/>
      <c r="C50" s="12"/>
      <c r="D50" s="12"/>
      <c r="E50" s="12"/>
      <c r="F50" s="12"/>
      <c r="G50" s="103"/>
      <c r="H50" s="103"/>
      <c r="I50" s="103"/>
      <c r="J50" s="103"/>
      <c r="K50" s="103"/>
      <c r="L50" s="103"/>
      <c r="M50" s="103"/>
      <c r="N50" s="103"/>
      <c r="O50" s="103"/>
      <c r="P50" s="101" t="str">
        <f>P49&amp;" = "&amp;ROUND(Q49,0)&amp;" USD/tLSFOeq"</f>
        <v>Total S4 = 795 USD/tLSFOeq</v>
      </c>
      <c r="Q50" s="103"/>
      <c r="R50" s="69"/>
      <c r="S50" s="69"/>
      <c r="T50" s="69"/>
      <c r="U50" s="69"/>
      <c r="V50" s="69"/>
      <c r="W50" s="69"/>
      <c r="X50" s="69"/>
      <c r="Y50" s="69"/>
      <c r="Z50" s="69"/>
      <c r="AA50" s="69"/>
      <c r="AB50" s="69"/>
      <c r="AC50" s="69"/>
      <c r="AD50" s="69"/>
      <c r="AE50" s="69"/>
    </row>
    <row r="51" spans="1:31" ht="18.5" x14ac:dyDescent="0.35">
      <c r="A51" s="12"/>
      <c r="B51" s="12"/>
      <c r="C51" s="12"/>
      <c r="D51" s="12"/>
      <c r="E51" s="12"/>
      <c r="F51" s="12"/>
      <c r="G51" s="103"/>
      <c r="H51" s="103"/>
      <c r="I51" s="103"/>
      <c r="J51" s="103"/>
      <c r="K51" s="103"/>
      <c r="L51" s="103"/>
      <c r="M51" s="103"/>
      <c r="N51" s="103"/>
      <c r="O51" s="103"/>
      <c r="P51" s="103"/>
      <c r="Q51" s="103"/>
      <c r="R51" s="69"/>
      <c r="S51" s="69"/>
      <c r="T51" s="69"/>
      <c r="U51" s="69"/>
      <c r="V51" s="69"/>
      <c r="W51" s="69"/>
      <c r="X51" s="69"/>
      <c r="Y51" s="69"/>
      <c r="Z51" s="69"/>
      <c r="AA51" s="69"/>
      <c r="AB51" s="69"/>
      <c r="AC51" s="69"/>
      <c r="AD51" s="69"/>
      <c r="AE51" s="69"/>
    </row>
    <row r="52" spans="1:31" ht="42" customHeight="1" x14ac:dyDescent="0.35">
      <c r="B52" s="13" t="e" vm="1">
        <v>#VALUE!</v>
      </c>
      <c r="C52" s="15"/>
    </row>
    <row r="53" spans="1:31" x14ac:dyDescent="0.35">
      <c r="C53" s="15"/>
    </row>
    <row r="54" spans="1:31" x14ac:dyDescent="0.35">
      <c r="C54" s="15"/>
    </row>
    <row r="55" spans="1:31" x14ac:dyDescent="0.35">
      <c r="C55" s="15"/>
    </row>
    <row r="56" spans="1:31" x14ac:dyDescent="0.35">
      <c r="C56" s="15"/>
    </row>
    <row r="57" spans="1:31" x14ac:dyDescent="0.35">
      <c r="C57" s="15"/>
    </row>
    <row r="58" spans="1:31" x14ac:dyDescent="0.35">
      <c r="C58" s="15"/>
    </row>
    <row r="59" spans="1:31" x14ac:dyDescent="0.35">
      <c r="C59" s="15"/>
      <c r="G59" s="1"/>
    </row>
    <row r="60" spans="1:31" x14ac:dyDescent="0.35">
      <c r="C60" s="15"/>
      <c r="G60"/>
    </row>
    <row r="61" spans="1:31" x14ac:dyDescent="0.35">
      <c r="C61" s="15"/>
      <c r="G61"/>
    </row>
    <row r="62" spans="1:31" x14ac:dyDescent="0.35">
      <c r="G62"/>
    </row>
    <row r="63" spans="1:31" x14ac:dyDescent="0.35">
      <c r="G63"/>
    </row>
  </sheetData>
  <sheetProtection formatCells="0" formatColumns="0" formatRows="0" insertColumns="0" insertRows="0" insertHyperlinks="0" deleteColumns="0" deleteRows="0" selectLockedCells="1" sort="0" autoFilter="0" pivotTables="0"/>
  <mergeCells count="16">
    <mergeCell ref="D47:E47"/>
    <mergeCell ref="D44:E44"/>
    <mergeCell ref="D45:E45"/>
    <mergeCell ref="B3:E3"/>
    <mergeCell ref="B6:E6"/>
    <mergeCell ref="B7:E7"/>
    <mergeCell ref="B8:E8"/>
    <mergeCell ref="B9:E9"/>
    <mergeCell ref="D13:E13"/>
    <mergeCell ref="B4:E4"/>
    <mergeCell ref="B5:E5"/>
    <mergeCell ref="D16:E16"/>
    <mergeCell ref="D19:E21"/>
    <mergeCell ref="D34:E34"/>
    <mergeCell ref="D39:E39"/>
    <mergeCell ref="D46:E46"/>
  </mergeCells>
  <phoneticPr fontId="47" type="noConversion"/>
  <conditionalFormatting sqref="C26">
    <cfRule type="expression" dxfId="5" priority="13">
      <formula>$C$25&lt;&gt;"Enter Fixed Price"</formula>
    </cfRule>
  </conditionalFormatting>
  <conditionalFormatting sqref="C30">
    <cfRule type="expression" dxfId="4" priority="6">
      <formula>$C$29&lt;&gt;"Enter Fixed Price"</formula>
    </cfRule>
  </conditionalFormatting>
  <conditionalFormatting sqref="C36">
    <cfRule type="expression" dxfId="3" priority="11">
      <formula>$C$35&lt;&gt;"Enter Fixed Price"</formula>
    </cfRule>
  </conditionalFormatting>
  <conditionalFormatting sqref="C40">
    <cfRule type="expression" dxfId="2" priority="7">
      <formula>$C$39&lt;&gt;"Enter Fixed Price"</formula>
    </cfRule>
  </conditionalFormatting>
  <conditionalFormatting sqref="C45">
    <cfRule type="expression" dxfId="1" priority="2">
      <formula>$C$44&lt;&gt;"Enter my own"</formula>
    </cfRule>
  </conditionalFormatting>
  <conditionalFormatting sqref="C47">
    <cfRule type="expression" dxfId="0" priority="1">
      <formula>$C$46&lt;&gt;"Enter fixed price"</formula>
    </cfRule>
  </conditionalFormatting>
  <dataValidations xWindow="2090" yWindow="488" count="11">
    <dataValidation type="whole" operator="greaterThan" allowBlank="1" showInputMessage="1" showErrorMessage="1" promptTitle="Enter LSFO cost estimate" prompt="USD/tonne" sqref="C26 C36 C45 C47" xr:uid="{AA68C900-AD2F-4CC6-A47B-DCD8F3C8B9AF}">
      <formula1>0</formula1>
    </dataValidation>
    <dataValidation type="list" allowBlank="1" showInputMessage="1" showErrorMessage="1" sqref="C13" xr:uid="{F080A2E3-0F5D-4C18-8C63-6F291D4FCFEF}">
      <formula1>$H$36:$AD$36</formula1>
    </dataValidation>
    <dataValidation type="list" allowBlank="1" showInputMessage="1" showErrorMessage="1" sqref="C34" xr:uid="{B71195E6-1BE8-45C5-933E-8B5F8D393709}">
      <formula1>$AC$28:$AC$29</formula1>
    </dataValidation>
    <dataValidation type="list" allowBlank="1" showInputMessage="1" showErrorMessage="1" sqref="C16:C17" xr:uid="{1B1ECE36-8016-45AC-B89C-62A1CE259DAE}">
      <formula1>$AC$13:$AC$17</formula1>
    </dataValidation>
    <dataValidation type="list" allowBlank="1" showInputMessage="1" showErrorMessage="1" sqref="C29" xr:uid="{4B520E5F-7E2F-4FB7-9501-47620CD50C66}">
      <formula1>$AC$22:$AC$25</formula1>
    </dataValidation>
    <dataValidation type="list" allowBlank="1" showInputMessage="1" showErrorMessage="1" sqref="C35" xr:uid="{A6E08088-F412-4936-A2E6-B9399C7B1D52}">
      <formula1>$AC$20:$AC$21</formula1>
    </dataValidation>
    <dataValidation type="list" allowBlank="1" showInputMessage="1" showErrorMessage="1" sqref="C25" xr:uid="{EA980A7D-1811-4EE7-8DB3-B0818295F816}">
      <formula1>$AC$18:$AC$19</formula1>
    </dataValidation>
    <dataValidation type="list" allowBlank="1" showInputMessage="1" showErrorMessage="1" sqref="C39" xr:uid="{A4BFB88A-B898-426C-834A-6BC5547CE784}">
      <formula1>$AC$26:$AC$27</formula1>
    </dataValidation>
    <dataValidation type="list" allowBlank="1" showInputMessage="1" showErrorMessage="1" sqref="C46" xr:uid="{4D601F2D-B9F0-4551-BD04-499C57C774EA}">
      <formula1>$AC$30:$AC$33</formula1>
    </dataValidation>
    <dataValidation type="list" allowBlank="1" showInputMessage="1" showErrorMessage="1" sqref="C19:C21" xr:uid="{ACF9FF39-A18B-4013-9CAD-3D67F3A90B83}">
      <formula1>$AD$22:$AD$23</formula1>
    </dataValidation>
    <dataValidation type="list" allowBlank="1" showInputMessage="1" showErrorMessage="1" sqref="C44" xr:uid="{7F4EC9D6-08C6-4643-88E6-437D852E24D3}">
      <formula1>$AD$24:$AD$25</formula1>
    </dataValidation>
  </dataValidations>
  <hyperlinks>
    <hyperlink ref="D29" r:id="rId1" display="LR &amp; UMAS, 2021" xr:uid="{7C900921-1927-4F6B-B152-D630FF994F58}"/>
    <hyperlink ref="D25" r:id="rId2" xr:uid="{09D28835-42E5-48C8-9BA2-4A2760974791}"/>
    <hyperlink ref="D35" r:id="rId3" xr:uid="{69022479-026D-414B-80DB-7AAF659EFD1D}"/>
    <hyperlink ref="B5:E5" r:id="rId4" display="MMMCZCS IMO Knowledge Hub Link" xr:uid="{69A53928-A666-463F-9E9E-F10A05F5C56F}"/>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9552-F634-4F06-85CA-446569EC0291}">
  <sheetPr>
    <tabColor rgb="FFA3C5BF"/>
  </sheetPr>
  <dimension ref="B2:AF429"/>
  <sheetViews>
    <sheetView showGridLines="0" topLeftCell="F1" zoomScale="130" zoomScaleNormal="130" workbookViewId="0">
      <selection activeCell="AD57" sqref="AD57"/>
    </sheetView>
  </sheetViews>
  <sheetFormatPr defaultRowHeight="14.5" x14ac:dyDescent="0.35"/>
  <cols>
    <col min="2" max="2" width="8.81640625" style="75" customWidth="1"/>
    <col min="3" max="3" width="53.453125" customWidth="1"/>
    <col min="4" max="4" width="19.81640625" style="76" customWidth="1"/>
    <col min="5" max="5" width="29.1796875" style="76" customWidth="1"/>
    <col min="6" max="6" width="23.81640625" style="77" customWidth="1"/>
    <col min="7" max="7" width="20.81640625" style="77" bestFit="1" customWidth="1"/>
    <col min="8" max="8" width="13" customWidth="1"/>
    <col min="9" max="31" width="11.1796875" bestFit="1" customWidth="1"/>
  </cols>
  <sheetData>
    <row r="2" spans="2:30" x14ac:dyDescent="0.35">
      <c r="C2" s="19" t="s">
        <v>96</v>
      </c>
      <c r="D2" s="35"/>
      <c r="E2" s="22"/>
      <c r="F2" s="18"/>
      <c r="G2" s="18"/>
      <c r="H2" s="15"/>
    </row>
    <row r="3" spans="2:30" x14ac:dyDescent="0.35">
      <c r="C3" s="38" t="s">
        <v>97</v>
      </c>
      <c r="D3" s="135" t="s">
        <v>98</v>
      </c>
      <c r="E3" s="78" t="s">
        <v>72</v>
      </c>
      <c r="F3" s="78" t="s">
        <v>99</v>
      </c>
      <c r="G3" s="31" t="s">
        <v>100</v>
      </c>
      <c r="H3" s="111">
        <v>2028</v>
      </c>
      <c r="I3" s="111">
        <v>2029</v>
      </c>
      <c r="J3" s="111">
        <v>2030</v>
      </c>
      <c r="K3" s="111">
        <v>2031</v>
      </c>
      <c r="L3" s="111">
        <v>2032</v>
      </c>
      <c r="M3" s="111">
        <v>2033</v>
      </c>
      <c r="N3" s="111">
        <v>2034</v>
      </c>
      <c r="O3" s="111">
        <v>2035</v>
      </c>
      <c r="P3" s="110">
        <v>2036</v>
      </c>
      <c r="Q3" s="110">
        <v>2037</v>
      </c>
      <c r="R3" s="111">
        <v>2038</v>
      </c>
      <c r="S3" s="111">
        <v>2039</v>
      </c>
      <c r="T3" s="111">
        <v>2040</v>
      </c>
      <c r="U3" s="111">
        <v>2041</v>
      </c>
      <c r="V3" s="111">
        <v>2042</v>
      </c>
      <c r="W3" s="111">
        <v>2043</v>
      </c>
      <c r="X3" s="111">
        <v>2044</v>
      </c>
      <c r="Y3" s="111">
        <v>2045</v>
      </c>
      <c r="Z3" s="110">
        <v>2046</v>
      </c>
      <c r="AA3" s="110">
        <v>2047</v>
      </c>
      <c r="AB3" s="111">
        <v>2048</v>
      </c>
      <c r="AC3" s="111">
        <v>2049</v>
      </c>
      <c r="AD3" s="111">
        <v>2050</v>
      </c>
    </row>
    <row r="4" spans="2:30" x14ac:dyDescent="0.35">
      <c r="C4" s="15" t="s">
        <v>101</v>
      </c>
      <c r="D4" s="136"/>
      <c r="E4" s="22" t="s">
        <v>102</v>
      </c>
      <c r="F4" s="80" t="s">
        <v>103</v>
      </c>
      <c r="G4" s="18" t="s">
        <v>104</v>
      </c>
      <c r="H4" s="137">
        <f>Data!$D$5*(1-INDEX(Data!$B$12:$AA$22,MATCH($C$4,Data!$B$12:$B$22,0),MATCH(H$3,Data!$B$12:$AA$12,0)))</f>
        <v>89.567999999999998</v>
      </c>
      <c r="I4" s="112">
        <f>Data!$D$5*(1-INDEX(Data!$B$12:$AA$22,MATCH($C$4,Data!$B$12:$B$22,0),MATCH(I$3,Data!$B$12:$AA$12,0)))</f>
        <v>87.701999999999998</v>
      </c>
      <c r="J4" s="112">
        <f>Data!$D$5*(1-INDEX(Data!$B$12:$AA$22,MATCH($C$4,Data!$B$12:$B$22,0),MATCH(J$3,Data!$B$12:$AA$12,0)))</f>
        <v>85.835999999999999</v>
      </c>
      <c r="K4" s="112">
        <f>Data!$D$5*(1-INDEX(Data!$B$12:$AA$22,MATCH($C$4,Data!$B$12:$B$22,0),MATCH(K$3,Data!$B$12:$AA$12,0)))</f>
        <v>81.730800000000002</v>
      </c>
      <c r="L4" s="112">
        <f>Data!$D$5*(1-INDEX(Data!$B$12:$AA$22,MATCH($C$4,Data!$B$12:$B$22,0),MATCH(L$3,Data!$B$12:$AA$12,0)))</f>
        <v>77.625599999999991</v>
      </c>
      <c r="M4" s="112">
        <f>Data!$D$5*(1-INDEX(Data!$B$12:$AA$22,MATCH($C$4,Data!$B$12:$B$22,0),MATCH(M$3,Data!$B$12:$AA$12,0)))</f>
        <v>73.520399999999995</v>
      </c>
      <c r="N4" s="112">
        <f>Data!$D$5*(1-INDEX(Data!$B$12:$AA$22,MATCH($C$4,Data!$B$12:$B$22,0),MATCH(N$3,Data!$B$12:$AA$12,0)))</f>
        <v>69.415199999999999</v>
      </c>
      <c r="O4" s="112">
        <f>Data!$D$5*(1-INDEX(Data!$B$12:$AA$22,MATCH($C$4,Data!$B$12:$B$22,0),MATCH(O$3,Data!$B$12:$AA$12,0)))</f>
        <v>65.309999999998936</v>
      </c>
      <c r="P4" s="112">
        <f>Data!$D$5*(1-INDEX(Data!$B$12:$AA$22,MATCH($C$4,Data!$B$12:$B$22,0),MATCH(P$3,Data!$B$12:$AA$12,0)))</f>
        <v>58.778999999999577</v>
      </c>
      <c r="Q4" s="112">
        <f>Data!$D$5*(1-INDEX(Data!$B$12:$AA$22,MATCH($C$4,Data!$B$12:$B$22,0),MATCH(Q$3,Data!$B$12:$AA$12,0)))</f>
        <v>52.248000000000211</v>
      </c>
      <c r="R4" s="112">
        <f>Data!$D$5*(1-INDEX(Data!$B$12:$AA$22,MATCH($C$4,Data!$B$12:$B$22,0),MATCH(R$3,Data!$B$12:$AA$12,0)))</f>
        <v>45.716999999998194</v>
      </c>
      <c r="S4" s="112">
        <f>Data!$D$5*(1-INDEX(Data!$B$12:$AA$22,MATCH($C$4,Data!$B$12:$B$22,0),MATCH(S$3,Data!$B$12:$AA$12,0)))</f>
        <v>39.185999999998835</v>
      </c>
      <c r="T4" s="112">
        <f>Data!$D$5*(1-INDEX(Data!$B$12:$AA$22,MATCH($C$4,Data!$B$12:$B$22,0),MATCH(T$3,Data!$B$12:$AA$12,0)))</f>
        <v>32.654999999999468</v>
      </c>
      <c r="U4" s="112">
        <f>Data!$D$5*(1-INDEX(Data!$B$12:$AA$22,MATCH($C$4,Data!$B$12:$B$22,0),MATCH(U$3,Data!$B$12:$AA$12,0)))</f>
        <v>29.856000000000027</v>
      </c>
      <c r="V4" s="112">
        <f>Data!$D$5*(1-INDEX(Data!$B$12:$AA$22,MATCH($C$4,Data!$B$12:$B$22,0),MATCH(V$3,Data!$B$12:$AA$12,0)))</f>
        <v>27.05699999999992</v>
      </c>
      <c r="W4" s="112">
        <f>Data!$D$5*(1-INDEX(Data!$B$12:$AA$22,MATCH($C$4,Data!$B$12:$B$22,0),MATCH(W$3,Data!$B$12:$AA$12,0)))</f>
        <v>24.257999999999814</v>
      </c>
      <c r="X4" s="112">
        <f>Data!$D$5*(1-INDEX(Data!$B$12:$AA$22,MATCH($C$4,Data!$B$12:$B$22,0),MATCH(X$3,Data!$B$12:$AA$12,0)))</f>
        <v>21.458999999999708</v>
      </c>
      <c r="Y4" s="112">
        <f>Data!$D$5*(1-INDEX(Data!$B$12:$AA$22,MATCH($C$4,Data!$B$12:$B$22,0),MATCH(Y$3,Data!$B$12:$AA$12,0)))</f>
        <v>18.660000000000263</v>
      </c>
      <c r="Z4" s="112">
        <f>Data!$D$5*(1-INDEX(Data!$B$12:$AA$22,MATCH($C$4,Data!$B$12:$B$22,0),MATCH(Z$3,Data!$B$12:$AA$12,0)))</f>
        <v>15.861000000000159</v>
      </c>
      <c r="AA4" s="112">
        <f>Data!$D$5*(1-INDEX(Data!$B$12:$AA$22,MATCH($C$4,Data!$B$12:$B$22,0),MATCH(AA$3,Data!$B$12:$AA$12,0)))</f>
        <v>13.062000000000053</v>
      </c>
      <c r="AB4" s="112">
        <f>Data!$D$5*(1-INDEX(Data!$B$12:$AA$22,MATCH($C$4,Data!$B$12:$B$22,0),MATCH(AB$3,Data!$B$12:$AA$12,0)))</f>
        <v>10.262999999999947</v>
      </c>
      <c r="AC4" s="112">
        <f>Data!$D$5*(1-INDEX(Data!$B$12:$AA$22,MATCH($C$4,Data!$B$12:$B$22,0),MATCH(AC$3,Data!$B$12:$AA$12,0)))</f>
        <v>7.4639999999998405</v>
      </c>
      <c r="AD4" s="112">
        <f>Data!$D$5*(1-INDEX(Data!$B$12:$AA$22,MATCH($C$4,Data!$B$12:$B$22,0),MATCH(AD$3,Data!$B$12:$AA$12,0)))</f>
        <v>4.6649999999997345</v>
      </c>
    </row>
    <row r="5" spans="2:30" x14ac:dyDescent="0.35">
      <c r="C5" s="15" t="s">
        <v>105</v>
      </c>
      <c r="D5" s="134"/>
      <c r="E5" s="22" t="s">
        <v>102</v>
      </c>
      <c r="F5" s="80"/>
      <c r="G5" s="18" t="s">
        <v>104</v>
      </c>
      <c r="H5" s="112">
        <f>Data!$D$5*(1-INDEX(Data!$B$12:$AA$22,MATCH($C$5,Data!$B$12:$B$22,0),MATCH(H$3,Data!$B$12:$AA$12,0)))</f>
        <v>77.438999999999993</v>
      </c>
      <c r="I5" s="112">
        <f>Data!$D$5*(1-INDEX(Data!$B$12:$AA$22,MATCH($C$5,Data!$B$12:$B$22,0),MATCH(I$3,Data!$B$12:$AA$12,0)))</f>
        <v>75.572999999999993</v>
      </c>
      <c r="J5" s="112">
        <f>Data!$D$5*(1-INDEX(Data!$B$12:$AA$22,MATCH($C$5,Data!$B$12:$B$22,0),MATCH(J$3,Data!$B$12:$AA$12,0)))</f>
        <v>73.707000000000008</v>
      </c>
      <c r="K5" s="112">
        <f>Data!$D$5*(1-INDEX(Data!$B$12:$AA$22,MATCH($C$5,Data!$B$12:$B$22,0),MATCH(K$3,Data!$B$12:$AA$12,0)))</f>
        <v>69.601799999999997</v>
      </c>
      <c r="L5" s="112">
        <f>Data!$D$5*(1-INDEX(Data!$B$12:$AA$22,MATCH($C$5,Data!$B$12:$B$22,0),MATCH(L$3,Data!$B$12:$AA$12,0)))</f>
        <v>65.496600000000001</v>
      </c>
      <c r="M5" s="112">
        <f>Data!$D$5*(1-INDEX(Data!$B$12:$AA$22,MATCH($C$5,Data!$B$12:$B$22,0),MATCH(M$3,Data!$B$12:$AA$12,0)))</f>
        <v>61.391400000000004</v>
      </c>
      <c r="N5" s="112">
        <f>Data!$D$5*(1-INDEX(Data!$B$12:$AA$22,MATCH($C$5,Data!$B$12:$B$22,0),MATCH(N$3,Data!$B$12:$AA$12,0)))</f>
        <v>57.286199999999994</v>
      </c>
      <c r="O5" s="112">
        <f>Data!$D$5*(1-INDEX(Data!$B$12:$AA$22,MATCH($C$5,Data!$B$12:$B$22,0),MATCH(O$3,Data!$B$12:$AA$12,0)))</f>
        <v>53.180999999998939</v>
      </c>
      <c r="P5" s="112">
        <f>Data!$D$5*(1-INDEX(Data!$B$12:$AA$22,MATCH($C$5,Data!$B$12:$B$22,0),MATCH(P$3,Data!$B$12:$AA$12,0)))</f>
        <v>46.649999999999572</v>
      </c>
      <c r="Q5" s="112">
        <f>Data!$D$5*(1-INDEX(Data!$B$12:$AA$22,MATCH($C$5,Data!$B$12:$B$22,0),MATCH(Q$3,Data!$B$12:$AA$12,0)))</f>
        <v>40.119000000000213</v>
      </c>
      <c r="R5" s="112">
        <f>Data!$D$5*(1-INDEX(Data!$B$12:$AA$22,MATCH($C$5,Data!$B$12:$B$22,0),MATCH(R$3,Data!$B$12:$AA$12,0)))</f>
        <v>33.587999999998196</v>
      </c>
      <c r="S5" s="112">
        <f>Data!$D$5*(1-INDEX(Data!$B$12:$AA$22,MATCH($C$5,Data!$B$12:$B$22,0),MATCH(S$3,Data!$B$12:$AA$12,0)))</f>
        <v>27.056999999998833</v>
      </c>
      <c r="T5" s="112">
        <f>Data!$D$5*(1-INDEX(Data!$B$12:$AA$22,MATCH($C$5,Data!$B$12:$B$22,0),MATCH(T$3,Data!$B$12:$AA$12,0)))</f>
        <v>20.525999999999467</v>
      </c>
      <c r="U5" s="112">
        <f>Data!$D$5*(1-INDEX(Data!$B$12:$AA$22,MATCH($C$5,Data!$B$12:$B$22,0),MATCH(U$3,Data!$B$12:$AA$12,0)))</f>
        <v>17.727000000000025</v>
      </c>
      <c r="V5" s="112">
        <f>Data!$D$5*(1-INDEX(Data!$B$12:$AA$22,MATCH($C$5,Data!$B$12:$B$22,0),MATCH(V$3,Data!$B$12:$AA$12,0)))</f>
        <v>14.927999999999919</v>
      </c>
      <c r="W5" s="112">
        <f>Data!$D$5*(1-INDEX(Data!$B$12:$AA$22,MATCH($C$5,Data!$B$12:$B$22,0),MATCH(W$3,Data!$B$12:$AA$12,0)))</f>
        <v>12.128999999999813</v>
      </c>
      <c r="X5" s="112">
        <f>Data!$D$5*(1-INDEX(Data!$B$12:$AA$22,MATCH($C$5,Data!$B$12:$B$22,0),MATCH(X$3,Data!$B$12:$AA$12,0)))</f>
        <v>9.329999999999707</v>
      </c>
      <c r="Y5" s="112">
        <f>Data!$D$5*(1-INDEX(Data!$B$12:$AA$22,MATCH($C$5,Data!$B$12:$B$22,0),MATCH(Y$3,Data!$B$12:$AA$12,0)))</f>
        <v>6.5310000000002644</v>
      </c>
      <c r="Z5" s="112">
        <f>Data!$D$5*(1-INDEX(Data!$B$12:$AA$22,MATCH($C$5,Data!$B$12:$B$22,0),MATCH(Z$3,Data!$B$12:$AA$12,0)))</f>
        <v>3.7320000000001587</v>
      </c>
      <c r="AA5" s="112">
        <f>Data!$D$5*(1-INDEX(Data!$B$12:$AA$22,MATCH($C$5,Data!$B$12:$B$22,0),MATCH(AA$3,Data!$B$12:$AA$12,0)))</f>
        <v>0.93300000000005257</v>
      </c>
      <c r="AB5" s="112">
        <f>Data!$D$5*(1-INDEX(Data!$B$12:$AA$22,MATCH($C$5,Data!$B$12:$B$22,0),MATCH(AB$3,Data!$B$12:$AA$12,0)))</f>
        <v>0</v>
      </c>
      <c r="AC5" s="112">
        <f>Data!$D$5*(1-INDEX(Data!$B$12:$AA$22,MATCH($C$5,Data!$B$12:$B$22,0),MATCH(AC$3,Data!$B$12:$AA$12,0)))</f>
        <v>0</v>
      </c>
      <c r="AD5" s="112">
        <f>Data!$D$5*(1-INDEX(Data!$B$12:$AA$22,MATCH($C$5,Data!$B$12:$B$22,0),MATCH(AD$3,Data!$B$12:$AA$12,0)))</f>
        <v>0</v>
      </c>
    </row>
    <row r="6" spans="2:30" x14ac:dyDescent="0.35">
      <c r="C6" s="15" t="s">
        <v>106</v>
      </c>
      <c r="D6" s="109" t="str">
        <f>'CCC Summary'!C16</f>
        <v>Example Reward Low (200 to 5 USD/tCO2e)</v>
      </c>
      <c r="E6" s="22" t="s">
        <v>107</v>
      </c>
      <c r="F6" s="18"/>
      <c r="G6" s="18" t="s">
        <v>108</v>
      </c>
      <c r="H6" s="29">
        <f>IF(OR(AND(H3&lt;2035,H34&lt;=19),AND(H3&gt;2034,H34&lt;=14)),INDEX(Data!$B$12:$AA$22,MATCH($D$6,Data!$B$12:$B$22,0),MATCH(H$3,Data!$B$12:$AA$12,0)),0)</f>
        <v>200</v>
      </c>
      <c r="I6" s="29">
        <f>IF(OR(AND(I3&lt;2035,I34&lt;=19),AND(I3&gt;2034,I34&lt;=14)),INDEX(Data!$B$12:$AA$22,MATCH($D$6,Data!$B$12:$B$22,0),MATCH(I$3,Data!$B$12:$AA$12,0)),0)</f>
        <v>200</v>
      </c>
      <c r="J6" s="29">
        <f>IF(OR(AND(J3&lt;2035,J34&lt;=19),AND(J3&gt;2034,J34&lt;=14)),INDEX(Data!$B$12:$AA$22,MATCH($D$6,Data!$B$12:$B$22,0),MATCH(J$3,Data!$B$12:$AA$12,0)),0)</f>
        <v>175</v>
      </c>
      <c r="K6" s="29">
        <f>IF(OR(AND(K3&lt;2035,K34&lt;=19),AND(K3&gt;2034,K34&lt;=14)),INDEX(Data!$B$12:$AA$22,MATCH($D$6,Data!$B$12:$B$22,0),MATCH(K$3,Data!$B$12:$AA$12,0)),0)</f>
        <v>150</v>
      </c>
      <c r="L6" s="29">
        <f>IF(OR(AND(L3&lt;2035,L34&lt;=19),AND(L3&gt;2034,L34&lt;=14)),INDEX(Data!$B$12:$AA$22,MATCH($D$6,Data!$B$12:$B$22,0),MATCH(L$3,Data!$B$12:$AA$12,0)),0)</f>
        <v>125</v>
      </c>
      <c r="M6" s="29">
        <f>IF(OR(AND(M3&lt;2035,M34&lt;=19),AND(M3&gt;2034,M34&lt;=14)),INDEX(Data!$B$12:$AA$22,MATCH($D$6,Data!$B$12:$B$22,0),MATCH(M$3,Data!$B$12:$AA$12,0)),0)</f>
        <v>100</v>
      </c>
      <c r="N6" s="29">
        <f>IF(OR(AND(N3&lt;2035,N34&lt;=19),AND(N3&gt;2034,N34&lt;=14)),INDEX(Data!$B$12:$AA$22,MATCH($D$6,Data!$B$12:$B$22,0),MATCH(N$3,Data!$B$12:$AA$12,0)),0)</f>
        <v>75</v>
      </c>
      <c r="O6" s="29">
        <f>IF(OR(AND(O3&lt;2035,O34&lt;=19),AND(O3&gt;2034,O34&lt;=14)),INDEX(Data!$B$12:$AA$22,MATCH($D$6,Data!$B$12:$B$22,0),MATCH(O$3,Data!$B$12:$AA$12,0)),0)</f>
        <v>50</v>
      </c>
      <c r="P6" s="29">
        <f>IF(OR(AND(P3&lt;2035,P34&lt;=19),AND(P3&gt;2034,P34&lt;=14)),INDEX(Data!$B$12:$AA$22,MATCH($D$6,Data!$B$12:$B$22,0),MATCH(P$3,Data!$B$12:$AA$12,0)),0)</f>
        <v>42.5</v>
      </c>
      <c r="Q6" s="29">
        <f>IF(OR(AND(Q3&lt;2035,Q34&lt;=19),AND(Q3&gt;2034,Q34&lt;=14)),INDEX(Data!$B$12:$AA$22,MATCH($D$6,Data!$B$12:$B$22,0),MATCH(Q$3,Data!$B$12:$AA$12,0)),0)</f>
        <v>35</v>
      </c>
      <c r="R6" s="29">
        <f>IF(OR(AND(R3&lt;2035,R34&lt;=19),AND(R3&gt;2034,R34&lt;=14)),INDEX(Data!$B$12:$AA$22,MATCH($D$6,Data!$B$12:$B$22,0),MATCH(R$3,Data!$B$12:$AA$12,0)),0)</f>
        <v>27.5</v>
      </c>
      <c r="S6" s="29">
        <f>IF(OR(AND(S3&lt;2035,S34&lt;=19),AND(S3&gt;2034,S34&lt;=14)),INDEX(Data!$B$12:$AA$22,MATCH($D$6,Data!$B$12:$B$22,0),MATCH(S$3,Data!$B$12:$AA$12,0)),0)</f>
        <v>20</v>
      </c>
      <c r="T6" s="29">
        <f>IF(OR(AND(T3&lt;2035,T34&lt;=19),AND(T3&gt;2034,T34&lt;=14)),INDEX(Data!$B$12:$AA$22,MATCH($D$6,Data!$B$12:$B$22,0),MATCH(T$3,Data!$B$12:$AA$12,0)),0)</f>
        <v>12.5</v>
      </c>
      <c r="U6" s="29">
        <f>IF(OR(AND(U3&lt;2035,U34&lt;=19),AND(U3&gt;2034,U34&lt;=14)),INDEX(Data!$B$12:$AA$22,MATCH($D$6,Data!$B$12:$B$22,0),MATCH(U$3,Data!$B$12:$AA$12,0)),0)</f>
        <v>11.5</v>
      </c>
      <c r="V6" s="29">
        <f>IF(OR(AND(V3&lt;2035,V34&lt;=19),AND(V3&gt;2034,V34&lt;=14)),INDEX(Data!$B$12:$AA$22,MATCH($D$6,Data!$B$12:$B$22,0),MATCH(V$3,Data!$B$12:$AA$12,0)),0)</f>
        <v>10.5</v>
      </c>
      <c r="W6" s="29">
        <f>IF(OR(AND(W3&lt;2035,W34&lt;=19),AND(W3&gt;2034,W34&lt;=14)),INDEX(Data!$B$12:$AA$22,MATCH($D$6,Data!$B$12:$B$22,0),MATCH(W$3,Data!$B$12:$AA$12,0)),0)</f>
        <v>9.5</v>
      </c>
      <c r="X6" s="29">
        <f>IF(OR(AND(X3&lt;2035,X34&lt;=19),AND(X3&gt;2034,X34&lt;=14)),INDEX(Data!$B$12:$AA$22,MATCH($D$6,Data!$B$12:$B$22,0),MATCH(X$3,Data!$B$12:$AA$12,0)),0)</f>
        <v>8.5</v>
      </c>
      <c r="Y6" s="29">
        <f>IF(OR(AND(Y3&lt;2035,Y34&lt;=19),AND(Y3&gt;2034,Y34&lt;=14)),INDEX(Data!$B$12:$AA$22,MATCH($D$6,Data!$B$12:$B$22,0),MATCH(Y$3,Data!$B$12:$AA$12,0)),0)</f>
        <v>7.5</v>
      </c>
      <c r="Z6" s="29">
        <f>IF(OR(AND(Z3&lt;2035,Z34&lt;=19),AND(Z3&gt;2034,Z34&lt;=14)),INDEX(Data!$B$12:$AA$22,MATCH($D$6,Data!$B$12:$B$22,0),MATCH(Z$3,Data!$B$12:$AA$12,0)),0)</f>
        <v>6.5</v>
      </c>
      <c r="AA6" s="29">
        <f>IF(OR(AND(AA3&lt;2035,AA34&lt;=19),AND(AA3&gt;2034,AA34&lt;=14)),INDEX(Data!$B$12:$AA$22,MATCH($D$6,Data!$B$12:$B$22,0),MATCH(AA$3,Data!$B$12:$AA$12,0)),0)</f>
        <v>5.5</v>
      </c>
      <c r="AB6" s="29">
        <f>IF(OR(AND(AB3&lt;2035,AB34&lt;=19),AND(AB3&gt;2034,AB34&lt;=14)),INDEX(Data!$B$12:$AA$22,MATCH($D$6,Data!$B$12:$B$22,0),MATCH(AB$3,Data!$B$12:$AA$12,0)),0)</f>
        <v>4.5</v>
      </c>
      <c r="AC6" s="29">
        <f>IF(OR(AND(AC3&lt;2035,AC34&lt;=19),AND(AC3&gt;2034,AC34&lt;=14)),INDEX(Data!$B$12:$AA$22,MATCH($D$6,Data!$B$12:$B$22,0),MATCH(AC$3,Data!$B$12:$AA$12,0)),0)</f>
        <v>3.5</v>
      </c>
      <c r="AD6" s="29">
        <f>IF(OR(AND(AD3&lt;2035,AD34&lt;=19),AND(AD3&gt;2034,AD34&lt;=14)),INDEX(Data!$B$12:$AA$22,MATCH($D$6,Data!$B$12:$B$22,0),MATCH(AD$3,Data!$B$12:$AA$12,0)),0)</f>
        <v>2.5</v>
      </c>
    </row>
    <row r="7" spans="2:30" x14ac:dyDescent="0.35">
      <c r="C7" t="s">
        <v>109</v>
      </c>
      <c r="D7" s="35"/>
      <c r="E7" s="22"/>
      <c r="F7" s="18"/>
      <c r="G7" s="18" t="s">
        <v>108</v>
      </c>
      <c r="H7" s="29">
        <f>H$5</f>
        <v>77.438999999999993</v>
      </c>
      <c r="I7" s="29">
        <f t="shared" ref="I7:AD7" si="0">I$5</f>
        <v>75.572999999999993</v>
      </c>
      <c r="J7" s="29">
        <f t="shared" si="0"/>
        <v>73.707000000000008</v>
      </c>
      <c r="K7" s="29">
        <f t="shared" si="0"/>
        <v>69.601799999999997</v>
      </c>
      <c r="L7" s="29">
        <f t="shared" si="0"/>
        <v>65.496600000000001</v>
      </c>
      <c r="M7" s="29">
        <f t="shared" si="0"/>
        <v>61.391400000000004</v>
      </c>
      <c r="N7" s="29">
        <f t="shared" si="0"/>
        <v>57.286199999999994</v>
      </c>
      <c r="O7" s="29">
        <f t="shared" si="0"/>
        <v>53.180999999998939</v>
      </c>
      <c r="P7" s="29">
        <f t="shared" si="0"/>
        <v>46.649999999999572</v>
      </c>
      <c r="Q7" s="29">
        <f t="shared" si="0"/>
        <v>40.119000000000213</v>
      </c>
      <c r="R7" s="29">
        <f t="shared" si="0"/>
        <v>33.587999999998196</v>
      </c>
      <c r="S7" s="29">
        <f t="shared" si="0"/>
        <v>27.056999999998833</v>
      </c>
      <c r="T7" s="29">
        <f t="shared" si="0"/>
        <v>20.525999999999467</v>
      </c>
      <c r="U7" s="29">
        <f t="shared" si="0"/>
        <v>17.727000000000025</v>
      </c>
      <c r="V7" s="29">
        <f t="shared" si="0"/>
        <v>14.927999999999919</v>
      </c>
      <c r="W7" s="29">
        <f t="shared" si="0"/>
        <v>12.128999999999813</v>
      </c>
      <c r="X7" s="29">
        <f t="shared" si="0"/>
        <v>9.329999999999707</v>
      </c>
      <c r="Y7" s="29">
        <f t="shared" si="0"/>
        <v>6.5310000000002644</v>
      </c>
      <c r="Z7" s="29">
        <f t="shared" si="0"/>
        <v>3.7320000000001587</v>
      </c>
      <c r="AA7" s="29">
        <f t="shared" si="0"/>
        <v>0.93300000000005257</v>
      </c>
      <c r="AB7" s="29">
        <f t="shared" si="0"/>
        <v>0</v>
      </c>
      <c r="AC7" s="29">
        <f t="shared" si="0"/>
        <v>0</v>
      </c>
      <c r="AD7" s="29">
        <f t="shared" si="0"/>
        <v>0</v>
      </c>
    </row>
    <row r="8" spans="2:30" x14ac:dyDescent="0.35">
      <c r="C8" s="15"/>
      <c r="D8" s="35"/>
      <c r="E8" s="22"/>
      <c r="F8" s="18"/>
      <c r="G8" s="18"/>
      <c r="I8" s="79"/>
      <c r="J8" s="79"/>
      <c r="K8" s="79"/>
      <c r="L8" s="79"/>
      <c r="M8" s="79"/>
      <c r="N8" s="79"/>
      <c r="O8" s="79"/>
      <c r="P8" s="79"/>
      <c r="Q8" s="79"/>
      <c r="R8" s="79"/>
      <c r="S8" s="79"/>
      <c r="T8" s="79"/>
      <c r="U8" s="79"/>
      <c r="V8" s="79"/>
      <c r="W8" s="79"/>
      <c r="X8" s="79"/>
      <c r="Y8" s="79"/>
      <c r="Z8" s="79"/>
      <c r="AA8" s="79"/>
      <c r="AB8" s="79"/>
      <c r="AC8" s="79"/>
    </row>
    <row r="9" spans="2:30" x14ac:dyDescent="0.35">
      <c r="C9" s="19" t="s">
        <v>110</v>
      </c>
      <c r="D9" s="35"/>
      <c r="E9" s="22"/>
      <c r="F9" s="18"/>
      <c r="G9" s="18"/>
      <c r="I9" s="79"/>
      <c r="J9" s="79"/>
      <c r="K9" s="79"/>
      <c r="L9" s="79"/>
      <c r="M9" s="79"/>
      <c r="N9" s="79"/>
      <c r="O9" s="79"/>
      <c r="P9" s="79"/>
      <c r="Q9" s="79"/>
      <c r="R9" s="79"/>
      <c r="S9" s="79"/>
      <c r="T9" s="79"/>
      <c r="U9" s="79"/>
      <c r="V9" s="79"/>
      <c r="W9" s="79"/>
      <c r="X9" s="79"/>
      <c r="Y9" s="79"/>
      <c r="Z9" s="79"/>
      <c r="AA9" s="79"/>
      <c r="AB9" s="79"/>
      <c r="AC9" s="79"/>
    </row>
    <row r="10" spans="2:30" x14ac:dyDescent="0.35">
      <c r="C10" s="38" t="s">
        <v>111</v>
      </c>
      <c r="D10" s="104" t="s">
        <v>112</v>
      </c>
      <c r="E10" s="78" t="s">
        <v>72</v>
      </c>
      <c r="F10" s="78" t="s">
        <v>99</v>
      </c>
      <c r="G10" s="31" t="s">
        <v>100</v>
      </c>
      <c r="H10" s="111">
        <v>2028</v>
      </c>
      <c r="I10" s="111">
        <v>2029</v>
      </c>
      <c r="J10" s="111">
        <v>2030</v>
      </c>
      <c r="K10" s="111">
        <v>2031</v>
      </c>
      <c r="L10" s="111">
        <v>2032</v>
      </c>
      <c r="M10" s="111">
        <v>2033</v>
      </c>
      <c r="N10" s="111">
        <v>2034</v>
      </c>
      <c r="O10" s="111">
        <v>2035</v>
      </c>
      <c r="P10" s="110">
        <v>2036</v>
      </c>
      <c r="Q10" s="110">
        <v>2037</v>
      </c>
      <c r="R10" s="111">
        <v>2038</v>
      </c>
      <c r="S10" s="111">
        <v>2039</v>
      </c>
      <c r="T10" s="111">
        <v>2040</v>
      </c>
      <c r="U10" s="111">
        <v>2041</v>
      </c>
      <c r="V10" s="111">
        <v>2042</v>
      </c>
      <c r="W10" s="111">
        <v>2043</v>
      </c>
      <c r="X10" s="111">
        <v>2044</v>
      </c>
      <c r="Y10" s="111">
        <v>2045</v>
      </c>
      <c r="Z10" s="110">
        <v>2046</v>
      </c>
      <c r="AA10" s="110">
        <v>2047</v>
      </c>
      <c r="AB10" s="111">
        <v>2048</v>
      </c>
      <c r="AC10" s="111">
        <v>2049</v>
      </c>
      <c r="AD10" s="111">
        <v>2050</v>
      </c>
    </row>
    <row r="11" spans="2:30" x14ac:dyDescent="0.35">
      <c r="B11" s="81" t="s">
        <v>16</v>
      </c>
      <c r="C11" s="15" t="s">
        <v>113</v>
      </c>
      <c r="D11" s="106" t="s">
        <v>16</v>
      </c>
      <c r="E11" s="22"/>
      <c r="F11" s="39"/>
      <c r="G11" s="18" t="s">
        <v>104</v>
      </c>
      <c r="H11" s="29">
        <f>INDEX(Data!$B$4:$K$6,MATCH(Data!$B$5,Data!$B$4:$B$6,0),MATCH($D11,Data!$B$4:$K$4,0))</f>
        <v>95.628110000000007</v>
      </c>
      <c r="I11" s="29">
        <f>INDEX(Data!$B$4:$K$6,MATCH(Data!$B$5,Data!$B$4:$B$6,0),MATCH($D11,Data!$B$4:$K$4,0))</f>
        <v>95.628110000000007</v>
      </c>
      <c r="J11" s="29">
        <f>INDEX(Data!$B$4:$K$6,MATCH(Data!$B$5,Data!$B$4:$B$6,0),MATCH($D11,Data!$B$4:$K$4,0))</f>
        <v>95.628110000000007</v>
      </c>
      <c r="K11" s="29">
        <f>INDEX(Data!$B$4:$K$6,MATCH(Data!$B$5,Data!$B$4:$B$6,0),MATCH($D11,Data!$B$4:$K$4,0))</f>
        <v>95.628110000000007</v>
      </c>
      <c r="L11" s="29">
        <f>INDEX(Data!$B$4:$K$6,MATCH(Data!$B$5,Data!$B$4:$B$6,0),MATCH($D11,Data!$B$4:$K$4,0))</f>
        <v>95.628110000000007</v>
      </c>
      <c r="M11" s="29">
        <f>INDEX(Data!$B$4:$K$6,MATCH(Data!$B$5,Data!$B$4:$B$6,0),MATCH($D11,Data!$B$4:$K$4,0))</f>
        <v>95.628110000000007</v>
      </c>
      <c r="N11" s="29">
        <f>INDEX(Data!$B$4:$K$6,MATCH(Data!$B$5,Data!$B$4:$B$6,0),MATCH($D11,Data!$B$4:$K$4,0))</f>
        <v>95.628110000000007</v>
      </c>
      <c r="O11" s="29">
        <f>INDEX(Data!$B$4:$K$6,MATCH(Data!$B$5,Data!$B$4:$B$6,0),MATCH($D11,Data!$B$4:$K$4,0))</f>
        <v>95.628110000000007</v>
      </c>
      <c r="P11" s="29">
        <f>INDEX(Data!$B$4:$K$6,MATCH(Data!$B$5,Data!$B$4:$B$6,0),MATCH($D11,Data!$B$4:$K$4,0))</f>
        <v>95.628110000000007</v>
      </c>
      <c r="Q11" s="29">
        <f>INDEX(Data!$B$4:$K$6,MATCH(Data!$B$5,Data!$B$4:$B$6,0),MATCH($D11,Data!$B$4:$K$4,0))</f>
        <v>95.628110000000007</v>
      </c>
      <c r="R11" s="29">
        <f>INDEX(Data!$B$4:$K$6,MATCH(Data!$B$5,Data!$B$4:$B$6,0),MATCH($D11,Data!$B$4:$K$4,0))</f>
        <v>95.628110000000007</v>
      </c>
      <c r="S11" s="29">
        <f>INDEX(Data!$B$4:$K$6,MATCH(Data!$B$5,Data!$B$4:$B$6,0),MATCH($D11,Data!$B$4:$K$4,0))</f>
        <v>95.628110000000007</v>
      </c>
      <c r="T11" s="29">
        <f>INDEX(Data!$B$4:$K$6,MATCH(Data!$B$5,Data!$B$4:$B$6,0),MATCH($D11,Data!$B$4:$K$4,0))</f>
        <v>95.628110000000007</v>
      </c>
      <c r="U11" s="29">
        <f>INDEX(Data!$B$4:$K$6,MATCH(Data!$B$5,Data!$B$4:$B$6,0),MATCH($D11,Data!$B$4:$K$4,0))</f>
        <v>95.628110000000007</v>
      </c>
      <c r="V11" s="29">
        <f>INDEX(Data!$B$4:$K$6,MATCH(Data!$B$5,Data!$B$4:$B$6,0),MATCH($D11,Data!$B$4:$K$4,0))</f>
        <v>95.628110000000007</v>
      </c>
      <c r="W11" s="29">
        <f>INDEX(Data!$B$4:$K$6,MATCH(Data!$B$5,Data!$B$4:$B$6,0),MATCH($D11,Data!$B$4:$K$4,0))</f>
        <v>95.628110000000007</v>
      </c>
      <c r="X11" s="29">
        <f>INDEX(Data!$B$4:$K$6,MATCH(Data!$B$5,Data!$B$4:$B$6,0),MATCH($D11,Data!$B$4:$K$4,0))</f>
        <v>95.628110000000007</v>
      </c>
      <c r="Y11" s="29">
        <f>INDEX(Data!$B$4:$K$6,MATCH(Data!$B$5,Data!$B$4:$B$6,0),MATCH($D11,Data!$B$4:$K$4,0))</f>
        <v>95.628110000000007</v>
      </c>
      <c r="Z11" s="29">
        <f>INDEX(Data!$B$4:$K$6,MATCH(Data!$B$5,Data!$B$4:$B$6,0),MATCH($D11,Data!$B$4:$K$4,0))</f>
        <v>95.628110000000007</v>
      </c>
      <c r="AA11" s="29">
        <f>INDEX(Data!$B$4:$K$6,MATCH(Data!$B$5,Data!$B$4:$B$6,0),MATCH($D11,Data!$B$4:$K$4,0))</f>
        <v>95.628110000000007</v>
      </c>
      <c r="AB11" s="29">
        <f>INDEX(Data!$B$4:$K$6,MATCH(Data!$B$5,Data!$B$4:$B$6,0),MATCH($D11,Data!$B$4:$K$4,0))</f>
        <v>95.628110000000007</v>
      </c>
      <c r="AC11" s="29">
        <f>INDEX(Data!$B$4:$K$6,MATCH(Data!$B$5,Data!$B$4:$B$6,0),MATCH($D11,Data!$B$4:$K$4,0))</f>
        <v>95.628110000000007</v>
      </c>
      <c r="AD11" s="29">
        <f>INDEX(Data!$B$4:$K$6,MATCH(Data!$B$5,Data!$B$4:$B$6,0),MATCH($D11,Data!$B$4:$K$4,0))</f>
        <v>95.628110000000007</v>
      </c>
    </row>
    <row r="12" spans="2:30" x14ac:dyDescent="0.35">
      <c r="B12" s="81"/>
      <c r="C12" s="15" t="s">
        <v>114</v>
      </c>
      <c r="D12" s="35"/>
      <c r="E12" s="22" t="s">
        <v>115</v>
      </c>
      <c r="F12" s="18" t="s">
        <v>116</v>
      </c>
      <c r="G12" s="18" t="s">
        <v>117</v>
      </c>
      <c r="H12" s="29">
        <f>H11/1000</f>
        <v>9.5628110000000002E-2</v>
      </c>
      <c r="I12" s="29">
        <f t="shared" ref="I12:AD12" si="1">I11/1000</f>
        <v>9.5628110000000002E-2</v>
      </c>
      <c r="J12" s="29">
        <f t="shared" si="1"/>
        <v>9.5628110000000002E-2</v>
      </c>
      <c r="K12" s="29">
        <f t="shared" si="1"/>
        <v>9.5628110000000002E-2</v>
      </c>
      <c r="L12" s="29">
        <f t="shared" si="1"/>
        <v>9.5628110000000002E-2</v>
      </c>
      <c r="M12" s="29">
        <f t="shared" si="1"/>
        <v>9.5628110000000002E-2</v>
      </c>
      <c r="N12" s="29">
        <f t="shared" si="1"/>
        <v>9.5628110000000002E-2</v>
      </c>
      <c r="O12" s="29">
        <f t="shared" si="1"/>
        <v>9.5628110000000002E-2</v>
      </c>
      <c r="P12" s="29">
        <f t="shared" si="1"/>
        <v>9.5628110000000002E-2</v>
      </c>
      <c r="Q12" s="29">
        <f t="shared" si="1"/>
        <v>9.5628110000000002E-2</v>
      </c>
      <c r="R12" s="29">
        <f t="shared" si="1"/>
        <v>9.5628110000000002E-2</v>
      </c>
      <c r="S12" s="29">
        <f t="shared" si="1"/>
        <v>9.5628110000000002E-2</v>
      </c>
      <c r="T12" s="29">
        <f t="shared" si="1"/>
        <v>9.5628110000000002E-2</v>
      </c>
      <c r="U12" s="29">
        <f t="shared" si="1"/>
        <v>9.5628110000000002E-2</v>
      </c>
      <c r="V12" s="29">
        <f t="shared" si="1"/>
        <v>9.5628110000000002E-2</v>
      </c>
      <c r="W12" s="29">
        <f t="shared" si="1"/>
        <v>9.5628110000000002E-2</v>
      </c>
      <c r="X12" s="29">
        <f t="shared" si="1"/>
        <v>9.5628110000000002E-2</v>
      </c>
      <c r="Y12" s="29">
        <f t="shared" si="1"/>
        <v>9.5628110000000002E-2</v>
      </c>
      <c r="Z12" s="29">
        <f t="shared" si="1"/>
        <v>9.5628110000000002E-2</v>
      </c>
      <c r="AA12" s="29">
        <f t="shared" si="1"/>
        <v>9.5628110000000002E-2</v>
      </c>
      <c r="AB12" s="29">
        <f t="shared" si="1"/>
        <v>9.5628110000000002E-2</v>
      </c>
      <c r="AC12" s="29">
        <f t="shared" si="1"/>
        <v>9.5628110000000002E-2</v>
      </c>
      <c r="AD12" s="29">
        <f t="shared" si="1"/>
        <v>9.5628110000000002E-2</v>
      </c>
    </row>
    <row r="13" spans="2:30" ht="15.65" customHeight="1" x14ac:dyDescent="0.35">
      <c r="B13" s="81"/>
      <c r="C13" s="15" t="s">
        <v>118</v>
      </c>
      <c r="D13" s="35"/>
      <c r="E13" s="22" t="s">
        <v>119</v>
      </c>
      <c r="F13" s="18" t="s">
        <v>120</v>
      </c>
      <c r="G13" s="18" t="s">
        <v>121</v>
      </c>
      <c r="H13" s="29">
        <f>(H11-H$4)*Data!$E$6</f>
        <v>0.24361642200000036</v>
      </c>
      <c r="I13" s="29">
        <f>(I11-I$4)*Data!$E$6</f>
        <v>0.31862962200000033</v>
      </c>
      <c r="J13" s="29">
        <f>(J11-J$4)*Data!$E$6</f>
        <v>0.39364282200000034</v>
      </c>
      <c r="K13" s="29">
        <f>(K11-K$4)*Data!$E$6</f>
        <v>0.55867186200000019</v>
      </c>
      <c r="L13" s="29">
        <f>(L11-L$4)*Data!$E$6</f>
        <v>0.72370090200000059</v>
      </c>
      <c r="M13" s="29">
        <f>(M11-M$4)*Data!$E$6</f>
        <v>0.88872994200000044</v>
      </c>
      <c r="N13" s="29">
        <f>(N11-N$4)*Data!$E$6</f>
        <v>1.0537589820000004</v>
      </c>
      <c r="O13" s="29">
        <f>(O11-O$4)*Data!$E$6</f>
        <v>1.2187880220000431</v>
      </c>
      <c r="P13" s="29">
        <f>(P11-P$4)*Data!$E$6</f>
        <v>1.4813342220000172</v>
      </c>
      <c r="Q13" s="29">
        <f>(Q11-Q$4)*Data!$E$6</f>
        <v>1.7438804219999917</v>
      </c>
      <c r="R13" s="29">
        <f>(R11-R$4)*Data!$E$6</f>
        <v>2.006426622000073</v>
      </c>
      <c r="S13" s="29">
        <f>(S11-S$4)*Data!$E$6</f>
        <v>2.2689728220000469</v>
      </c>
      <c r="T13" s="29">
        <f>(T11-T$4)*Data!$E$6</f>
        <v>2.5315190220000217</v>
      </c>
      <c r="U13" s="29">
        <f>(U11-U$4)*Data!$E$6</f>
        <v>2.6440388219999993</v>
      </c>
      <c r="V13" s="29">
        <f>(V11-V$4)*Data!$E$6</f>
        <v>2.7565586220000036</v>
      </c>
      <c r="W13" s="29">
        <f>(W11-W$4)*Data!$E$6</f>
        <v>2.8690784220000078</v>
      </c>
      <c r="X13" s="29">
        <f>(X11-X$4)*Data!$E$6</f>
        <v>2.9815982220000121</v>
      </c>
      <c r="Y13" s="29">
        <f>(Y11-Y$4)*Data!$E$6</f>
        <v>3.0941180219999893</v>
      </c>
      <c r="Z13" s="29">
        <f>(Z11-Z$4)*Data!$E$6</f>
        <v>3.2066378219999936</v>
      </c>
      <c r="AA13" s="29">
        <f>(AA11-AA$4)*Data!$E$6</f>
        <v>3.3191576219999979</v>
      </c>
      <c r="AB13" s="29">
        <f>(AB11-AB$4)*Data!$E$6</f>
        <v>3.4316774220000021</v>
      </c>
      <c r="AC13" s="29">
        <f>(AC11-AC$4)*Data!$E$6</f>
        <v>3.5441972220000064</v>
      </c>
      <c r="AD13" s="29">
        <f>(AD11-AD$4)*Data!$E$6</f>
        <v>3.6567170220000107</v>
      </c>
    </row>
    <row r="14" spans="2:30" ht="15.65" customHeight="1" x14ac:dyDescent="0.35">
      <c r="B14" s="81"/>
      <c r="C14" s="15" t="s">
        <v>122</v>
      </c>
      <c r="D14" s="134"/>
      <c r="E14" s="22" t="s">
        <v>123</v>
      </c>
      <c r="F14" s="18" t="s">
        <v>124</v>
      </c>
      <c r="G14" s="18" t="s">
        <v>121</v>
      </c>
      <c r="H14" s="29">
        <f>MIN(MAX(0,(H$11-H$5)),(H$4-H$5))*Data!$E$6</f>
        <v>0.48758580000000018</v>
      </c>
      <c r="I14" s="29">
        <f>MIN(MAX(0,(I$11-I$5)),(I$4-I$5))*Data!$E$6</f>
        <v>0.48758580000000018</v>
      </c>
      <c r="J14" s="29">
        <f>MIN(MAX(0,(J$11-J$5)),(J$4-J$5))*Data!$E$6</f>
        <v>0.48758579999999963</v>
      </c>
      <c r="K14" s="29">
        <f>MIN(MAX(0,(K$11-K$5)),(K$4-K$5))*Data!$E$6</f>
        <v>0.48758580000000018</v>
      </c>
      <c r="L14" s="29">
        <f>MIN(MAX(0,(L$11-L$5)),(L$4-L$5))*Data!$E$6</f>
        <v>0.48758579999999963</v>
      </c>
      <c r="M14" s="29">
        <f>MIN(MAX(0,(M$11-M$5)),(M$4-M$5))*Data!$E$6</f>
        <v>0.48758579999999963</v>
      </c>
      <c r="N14" s="29">
        <f>MIN(MAX(0,(N$11-N$5)),(N$4-N$5))*Data!$E$6</f>
        <v>0.48758580000000018</v>
      </c>
      <c r="O14" s="29">
        <f>MIN(MAX(0,(O$11-O$5)),(O$4-O$5))*Data!$E$6</f>
        <v>0.4875857999999999</v>
      </c>
      <c r="P14" s="29">
        <f>MIN(MAX(0,(P$11-P$5)),(P$4-P$5))*Data!$E$6</f>
        <v>0.48758580000000018</v>
      </c>
      <c r="Q14" s="29">
        <f>MIN(MAX(0,(Q$11-Q$5)),(Q$4-Q$5))*Data!$E$6</f>
        <v>0.4875857999999999</v>
      </c>
      <c r="R14" s="29">
        <f>MIN(MAX(0,(R$11-R$5)),(R$4-R$5))*Data!$E$6</f>
        <v>0.4875857999999999</v>
      </c>
      <c r="S14" s="29">
        <f>MIN(MAX(0,(S$11-S$5)),(S$4-S$5))*Data!$E$6</f>
        <v>0.48758580000000007</v>
      </c>
      <c r="T14" s="29">
        <f>MIN(MAX(0,(T$11-T$5)),(T$4-T$5))*Data!$E$6</f>
        <v>0.48758580000000007</v>
      </c>
      <c r="U14" s="29">
        <f>MIN(MAX(0,(U$11-U$5)),(U$4-U$5))*Data!$E$6</f>
        <v>0.48758580000000007</v>
      </c>
      <c r="V14" s="29">
        <f>MIN(MAX(0,(V$11-V$5)),(V$4-V$5))*Data!$E$6</f>
        <v>0.48758580000000007</v>
      </c>
      <c r="W14" s="29">
        <f>MIN(MAX(0,(W$11-W$5)),(W$4-W$5))*Data!$E$6</f>
        <v>0.48758580000000007</v>
      </c>
      <c r="X14" s="29">
        <f>MIN(MAX(0,(X$11-X$5)),(X$4-X$5))*Data!$E$6</f>
        <v>0.48758580000000007</v>
      </c>
      <c r="Y14" s="29">
        <f>MIN(MAX(0,(Y$11-Y$5)),(Y$4-Y$5))*Data!$E$6</f>
        <v>0.4875857999999999</v>
      </c>
      <c r="Z14" s="29">
        <f>MIN(MAX(0,(Z$11-Z$5)),(Z$4-Z$5))*Data!$E$6</f>
        <v>0.48758579999999996</v>
      </c>
      <c r="AA14" s="29">
        <f>MIN(MAX(0,(AA$11-AA$5)),(AA$4-AA$5))*Data!$E$6</f>
        <v>0.48758579999999996</v>
      </c>
      <c r="AB14" s="29">
        <f>MIN(MAX(0,(AB$11-AB$5)),(AB$4-AB$5))*Data!$E$6</f>
        <v>0.41257259999999785</v>
      </c>
      <c r="AC14" s="29">
        <f>MIN(MAX(0,(AC$11-AC$5)),(AC$4-AC$5))*Data!$E$6</f>
        <v>0.30005279999999357</v>
      </c>
      <c r="AD14" s="29">
        <f>MIN(MAX(0,(AD$11-AD$5)),(AD$4-AD$5))*Data!$E$6</f>
        <v>0.18753299999998932</v>
      </c>
    </row>
    <row r="15" spans="2:30" x14ac:dyDescent="0.35">
      <c r="B15" s="81"/>
      <c r="C15" s="15" t="s">
        <v>125</v>
      </c>
      <c r="D15" s="109" t="str">
        <f>'CCC Summary'!$C$25</f>
        <v>MMM LSFO</v>
      </c>
      <c r="E15" s="22" t="s">
        <v>107</v>
      </c>
      <c r="F15" s="18" t="str">
        <f>IF('CCC Summary'!$C$25="Yes",'CCC Summary'!$D$25,"")</f>
        <v/>
      </c>
      <c r="G15" s="18" t="s">
        <v>126</v>
      </c>
      <c r="H15" s="113">
        <f>IF($D$15="Enter fixed price",'CCC Summary'!$C$26/(Data!$E$6*1000),INDEX(Data!$B$26:$AA$35,MATCH($D$15,Data!$B$26:$B$35,0),MATCH(H$3,Data!$B$26:$AA$26,0)))</f>
        <v>14.241262135922296</v>
      </c>
      <c r="I15" s="113">
        <f>IF($D$15="Enter fixed price",'CCC Summary'!$C$26/(Data!$E$6*1000),INDEX(Data!$B$26:$AA$35,MATCH($D$15,Data!$B$26:$B$35,0),MATCH(I$3,Data!$B$26:$AA$26,0)))</f>
        <v>13.848786407766889</v>
      </c>
      <c r="J15" s="113">
        <f>IF($D$15="Enter fixed price",'CCC Summary'!$C$26/(Data!$E$6*1000),INDEX(Data!$B$26:$AA$35,MATCH($D$15,Data!$B$26:$B$35,0),MATCH(J$3,Data!$B$26:$AA$26,0)))</f>
        <v>13.456310679611649</v>
      </c>
      <c r="K15" s="113">
        <f>IF($D$15="Enter fixed price",'CCC Summary'!$C$26/(Data!$E$6*1000),INDEX(Data!$B$26:$AA$35,MATCH($D$15,Data!$B$26:$B$35,0),MATCH(K$3,Data!$B$26:$AA$26,0)))</f>
        <v>13.456310679611649</v>
      </c>
      <c r="L15" s="113">
        <f>IF($D$15="Enter fixed price",'CCC Summary'!$C$26/(Data!$E$6*1000),INDEX(Data!$B$26:$AA$35,MATCH($D$15,Data!$B$26:$B$35,0),MATCH(L$3,Data!$B$26:$AA$26,0)))</f>
        <v>13.456310679611649</v>
      </c>
      <c r="M15" s="113">
        <f>IF($D$15="Enter fixed price",'CCC Summary'!$C$26/(Data!$E$6*1000),INDEX(Data!$B$26:$AA$35,MATCH($D$15,Data!$B$26:$B$35,0),MATCH(M$3,Data!$B$26:$AA$26,0)))</f>
        <v>13.456310679611649</v>
      </c>
      <c r="N15" s="113">
        <f>IF($D$15="Enter fixed price",'CCC Summary'!$C$26/(Data!$E$6*1000),INDEX(Data!$B$26:$AA$35,MATCH($D$15,Data!$B$26:$B$35,0),MATCH(N$3,Data!$B$26:$AA$26,0)))</f>
        <v>13.456310679611649</v>
      </c>
      <c r="O15" s="113">
        <f>IF($D$15="Enter fixed price",'CCC Summary'!$C$26/(Data!$E$6*1000),INDEX(Data!$B$26:$AA$35,MATCH($D$15,Data!$B$26:$B$35,0),MATCH(O$3,Data!$B$26:$AA$26,0)))</f>
        <v>13.456310679611649</v>
      </c>
      <c r="P15" s="113">
        <f>IF($D$15="Enter fixed price",'CCC Summary'!$C$26/(Data!$E$6*1000),INDEX(Data!$B$26:$AA$35,MATCH($D$15,Data!$B$26:$B$35,0),MATCH(P$3,Data!$B$26:$AA$26,0)))</f>
        <v>13.456310679611649</v>
      </c>
      <c r="Q15" s="113">
        <f>IF($D$15="Enter fixed price",'CCC Summary'!$C$26/(Data!$E$6*1000),INDEX(Data!$B$26:$AA$35,MATCH($D$15,Data!$B$26:$B$35,0),MATCH(Q$3,Data!$B$26:$AA$26,0)))</f>
        <v>13.456310679611649</v>
      </c>
      <c r="R15" s="113">
        <f>IF($D$15="Enter fixed price",'CCC Summary'!$C$26/(Data!$E$6*1000),INDEX(Data!$B$26:$AA$35,MATCH($D$15,Data!$B$26:$B$35,0),MATCH(R$3,Data!$B$26:$AA$26,0)))</f>
        <v>13.456310679611649</v>
      </c>
      <c r="S15" s="113">
        <f>IF($D$15="Enter fixed price",'CCC Summary'!$C$26/(Data!$E$6*1000),INDEX(Data!$B$26:$AA$35,MATCH($D$15,Data!$B$26:$B$35,0),MATCH(S$3,Data!$B$26:$AA$26,0)))</f>
        <v>13.456310679611649</v>
      </c>
      <c r="T15" s="113">
        <f>IF($D$15="Enter fixed price",'CCC Summary'!$C$26/(Data!$E$6*1000),INDEX(Data!$B$26:$AA$35,MATCH($D$15,Data!$B$26:$B$35,0),MATCH(T$3,Data!$B$26:$AA$26,0)))</f>
        <v>13.456310679611649</v>
      </c>
      <c r="U15" s="113">
        <f>IF($D$15="Enter fixed price",'CCC Summary'!$C$26/(Data!$E$6*1000),INDEX(Data!$B$26:$AA$35,MATCH($D$15,Data!$B$26:$B$35,0),MATCH(U$3,Data!$B$26:$AA$26,0)))</f>
        <v>13.456310679611649</v>
      </c>
      <c r="V15" s="113">
        <f>IF($D$15="Enter fixed price",'CCC Summary'!$C$26/(Data!$E$6*1000),INDEX(Data!$B$26:$AA$35,MATCH($D$15,Data!$B$26:$B$35,0),MATCH(V$3,Data!$B$26:$AA$26,0)))</f>
        <v>13.456310679611649</v>
      </c>
      <c r="W15" s="113">
        <f>IF($D$15="Enter fixed price",'CCC Summary'!$C$26/(Data!$E$6*1000),INDEX(Data!$B$26:$AA$35,MATCH($D$15,Data!$B$26:$B$35,0),MATCH(W$3,Data!$B$26:$AA$26,0)))</f>
        <v>13.456310679611649</v>
      </c>
      <c r="X15" s="113">
        <f>IF($D$15="Enter fixed price",'CCC Summary'!$C$26/(Data!$E$6*1000),INDEX(Data!$B$26:$AA$35,MATCH($D$15,Data!$B$26:$B$35,0),MATCH(X$3,Data!$B$26:$AA$26,0)))</f>
        <v>13.456310679611649</v>
      </c>
      <c r="Y15" s="113">
        <f>IF($D$15="Enter fixed price",'CCC Summary'!$C$26/(Data!$E$6*1000),INDEX(Data!$B$26:$AA$35,MATCH($D$15,Data!$B$26:$B$35,0),MATCH(Y$3,Data!$B$26:$AA$26,0)))</f>
        <v>13.456310679611649</v>
      </c>
      <c r="Z15" s="113">
        <f>IF($D$15="Enter fixed price",'CCC Summary'!$C$26/(Data!$E$6*1000),INDEX(Data!$B$26:$AA$35,MATCH($D$15,Data!$B$26:$B$35,0),MATCH(Z$3,Data!$B$26:$AA$26,0)))</f>
        <v>13.456310679611649</v>
      </c>
      <c r="AA15" s="113">
        <f>IF($D$15="Enter fixed price",'CCC Summary'!$C$26/(Data!$E$6*1000),INDEX(Data!$B$26:$AA$35,MATCH($D$15,Data!$B$26:$B$35,0),MATCH(AA$3,Data!$B$26:$AA$26,0)))</f>
        <v>13.456310679611649</v>
      </c>
      <c r="AB15" s="113">
        <f>IF($D$15="Enter fixed price",'CCC Summary'!$C$26/(Data!$E$6*1000),INDEX(Data!$B$26:$AA$35,MATCH($D$15,Data!$B$26:$B$35,0),MATCH(AB$3,Data!$B$26:$AA$26,0)))</f>
        <v>13.456310679611649</v>
      </c>
      <c r="AC15" s="113">
        <f>IF($D$15="Enter fixed price",'CCC Summary'!$C$26/(Data!$E$6*1000),INDEX(Data!$B$26:$AA$35,MATCH($D$15,Data!$B$26:$B$35,0),MATCH(AC$3,Data!$B$26:$AA$26,0)))</f>
        <v>13.456310679611649</v>
      </c>
      <c r="AD15" s="113">
        <f>IF($D$15="Enter fixed price",'CCC Summary'!$C$26/(Data!$E$6*1000),INDEX(Data!$B$26:$AA$35,MATCH($D$15,Data!$B$26:$B$35,0),MATCH(AD$3,Data!$B$26:$AA$26,0)))</f>
        <v>13.456310679611649</v>
      </c>
    </row>
    <row r="16" spans="2:30" x14ac:dyDescent="0.35">
      <c r="B16" s="81"/>
      <c r="C16" s="82" t="s">
        <v>127</v>
      </c>
      <c r="D16" s="107"/>
      <c r="E16" s="22" t="s">
        <v>128</v>
      </c>
      <c r="F16" s="18" t="s">
        <v>129</v>
      </c>
      <c r="G16" s="18" t="s">
        <v>130</v>
      </c>
      <c r="H16" s="29">
        <f>H13*Data!E$15</f>
        <v>92.574240360000132</v>
      </c>
      <c r="I16" s="29">
        <f>I13*Data!F$15</f>
        <v>121.07925636000013</v>
      </c>
      <c r="J16" s="29">
        <f>J13*Data!G$15</f>
        <v>149.58427236000011</v>
      </c>
      <c r="K16" s="29">
        <f>K13*Data!H$15</f>
        <v>212.29530756000008</v>
      </c>
      <c r="L16" s="29">
        <f>L13*Data!I$15</f>
        <v>275.00634276000022</v>
      </c>
      <c r="M16" s="29">
        <f>M13*Data!J$15</f>
        <v>337.71737796000019</v>
      </c>
      <c r="N16" s="29">
        <f>N13*Data!K$15</f>
        <v>400.42841316000016</v>
      </c>
      <c r="O16" s="29">
        <f>O13*Data!L$15</f>
        <v>463.13944836001639</v>
      </c>
      <c r="P16" s="29">
        <f>P13*Data!M$15</f>
        <v>562.90700436000657</v>
      </c>
      <c r="Q16" s="29">
        <f>Q13*Data!N$15</f>
        <v>662.6745603599968</v>
      </c>
      <c r="R16" s="29">
        <f>R13*Data!O$15</f>
        <v>762.44211636002774</v>
      </c>
      <c r="S16" s="29">
        <f>S13*Data!P$15</f>
        <v>862.20967236001786</v>
      </c>
      <c r="T16" s="29">
        <f>T13*Data!Q$15</f>
        <v>961.97722836000821</v>
      </c>
      <c r="U16" s="29">
        <f>U13*Data!R$15</f>
        <v>1004.7347523599997</v>
      </c>
      <c r="V16" s="29">
        <f>V13*Data!S$15</f>
        <v>1047.4922763600014</v>
      </c>
      <c r="W16" s="29">
        <f>W13*Data!T$15</f>
        <v>1090.2498003600031</v>
      </c>
      <c r="X16" s="29">
        <f>X13*Data!U$15</f>
        <v>1133.0073243600045</v>
      </c>
      <c r="Y16" s="29">
        <f>Y13*Data!V$15</f>
        <v>1175.764848359996</v>
      </c>
      <c r="Z16" s="29">
        <f>Z13*Data!W$15</f>
        <v>1218.5223723599975</v>
      </c>
      <c r="AA16" s="29">
        <f>AA13*Data!X$15</f>
        <v>1261.2798963599992</v>
      </c>
      <c r="AB16" s="29">
        <f>AB13*Data!Y$15</f>
        <v>1304.0374203600009</v>
      </c>
      <c r="AC16" s="29">
        <f>AC13*Data!Z$15</f>
        <v>1346.7949443600025</v>
      </c>
      <c r="AD16" s="29">
        <f>AD13*Data!AA$15</f>
        <v>1389.552468360004</v>
      </c>
    </row>
    <row r="17" spans="2:30" x14ac:dyDescent="0.35">
      <c r="B17" s="81"/>
      <c r="C17" s="83" t="s">
        <v>131</v>
      </c>
      <c r="D17" s="108"/>
      <c r="E17" s="84" t="s">
        <v>128</v>
      </c>
      <c r="F17" s="25" t="s">
        <v>129</v>
      </c>
      <c r="G17" s="25" t="s">
        <v>130</v>
      </c>
      <c r="H17" s="114">
        <f>H14*Data!E$16</f>
        <v>48.758580000000016</v>
      </c>
      <c r="I17" s="114">
        <f>I14*Data!F$16</f>
        <v>48.758580000000016</v>
      </c>
      <c r="J17" s="114">
        <f>J14*Data!G$16</f>
        <v>48.758579999999959</v>
      </c>
      <c r="K17" s="114">
        <f>K14*Data!H$16</f>
        <v>48.758580000000016</v>
      </c>
      <c r="L17" s="114">
        <f>L14*Data!I$16</f>
        <v>48.758579999999959</v>
      </c>
      <c r="M17" s="114">
        <f>M14*Data!J$16</f>
        <v>48.758579999999959</v>
      </c>
      <c r="N17" s="114">
        <f>N14*Data!K$16</f>
        <v>48.758580000000016</v>
      </c>
      <c r="O17" s="114">
        <f>O14*Data!L$16</f>
        <v>48.758579999999988</v>
      </c>
      <c r="P17" s="114">
        <f>P14*Data!M$16</f>
        <v>48.758580000000016</v>
      </c>
      <c r="Q17" s="114">
        <f>Q14*Data!N$16</f>
        <v>48.758579999999988</v>
      </c>
      <c r="R17" s="114">
        <f>R14*Data!O$16</f>
        <v>48.758579999999988</v>
      </c>
      <c r="S17" s="114">
        <f>S14*Data!P$16</f>
        <v>48.758580000000009</v>
      </c>
      <c r="T17" s="114">
        <f>T14*Data!Q$16</f>
        <v>48.758580000000009</v>
      </c>
      <c r="U17" s="114">
        <f>U14*Data!R$16</f>
        <v>48.758580000000009</v>
      </c>
      <c r="V17" s="114">
        <f>V14*Data!S$16</f>
        <v>48.758580000000009</v>
      </c>
      <c r="W17" s="114">
        <f>W14*Data!T$16</f>
        <v>48.758580000000009</v>
      </c>
      <c r="X17" s="114">
        <f>X14*Data!U$16</f>
        <v>48.758580000000009</v>
      </c>
      <c r="Y17" s="114">
        <f>Y14*Data!V$16</f>
        <v>48.758579999999988</v>
      </c>
      <c r="Z17" s="114">
        <f>Z14*Data!W$16</f>
        <v>48.758579999999995</v>
      </c>
      <c r="AA17" s="114">
        <f>AA14*Data!X$16</f>
        <v>48.758579999999995</v>
      </c>
      <c r="AB17" s="114">
        <f>AB14*Data!Y$16</f>
        <v>41.257259999999782</v>
      </c>
      <c r="AC17" s="114">
        <f>AC14*Data!Z$16</f>
        <v>30.005279999999356</v>
      </c>
      <c r="AD17" s="114">
        <f>AD14*Data!AA$16</f>
        <v>18.753299999998934</v>
      </c>
    </row>
    <row r="18" spans="2:30" x14ac:dyDescent="0.35">
      <c r="B18" s="81" t="s">
        <v>132</v>
      </c>
      <c r="C18" s="15" t="s">
        <v>133</v>
      </c>
      <c r="D18" s="109" t="str">
        <f>'CCC Summary'!$C$34</f>
        <v>Diesel dual fuel (HP)</v>
      </c>
      <c r="E18" s="22" t="s">
        <v>107</v>
      </c>
      <c r="F18" s="39"/>
      <c r="G18" s="18" t="s">
        <v>104</v>
      </c>
      <c r="H18" s="113">
        <f>INDEX(Data!$B$4:$K$6,MATCH(Data!$B$5,Data!$B$4:$B$6,0),MATCH($D18,Data!$B$4:$K$4,0))</f>
        <v>77.168869999999998</v>
      </c>
      <c r="I18" s="113">
        <f>INDEX(Data!$B$4:$K$6,MATCH(Data!$B$5,Data!$B$4:$B$6,0),MATCH($D18,Data!$B$4:$K$4,0))</f>
        <v>77.168869999999998</v>
      </c>
      <c r="J18" s="113">
        <f>INDEX(Data!$B$4:$K$6,MATCH(Data!$B$5,Data!$B$4:$B$6,0),MATCH($D18,Data!$B$4:$K$4,0))</f>
        <v>77.168869999999998</v>
      </c>
      <c r="K18" s="113">
        <f>INDEX(Data!$B$4:$K$6,MATCH(Data!$B$5,Data!$B$4:$B$6,0),MATCH($D18,Data!$B$4:$K$4,0))</f>
        <v>77.168869999999998</v>
      </c>
      <c r="L18" s="113">
        <f>INDEX(Data!$B$4:$K$6,MATCH(Data!$B$5,Data!$B$4:$B$6,0),MATCH($D18,Data!$B$4:$K$4,0))</f>
        <v>77.168869999999998</v>
      </c>
      <c r="M18" s="113">
        <f>INDEX(Data!$B$4:$K$6,MATCH(Data!$B$5,Data!$B$4:$B$6,0),MATCH($D18,Data!$B$4:$K$4,0))</f>
        <v>77.168869999999998</v>
      </c>
      <c r="N18" s="113">
        <f>INDEX(Data!$B$4:$K$6,MATCH(Data!$B$5,Data!$B$4:$B$6,0),MATCH($D18,Data!$B$4:$K$4,0))</f>
        <v>77.168869999999998</v>
      </c>
      <c r="O18" s="113">
        <f>INDEX(Data!$B$4:$K$6,MATCH(Data!$B$5,Data!$B$4:$B$6,0),MATCH($D18,Data!$B$4:$K$4,0))</f>
        <v>77.168869999999998</v>
      </c>
      <c r="P18" s="113">
        <f>INDEX(Data!$B$4:$K$6,MATCH(Data!$B$5,Data!$B$4:$B$6,0),MATCH($D18,Data!$B$4:$K$4,0))</f>
        <v>77.168869999999998</v>
      </c>
      <c r="Q18" s="113">
        <f>INDEX(Data!$B$4:$K$6,MATCH(Data!$B$5,Data!$B$4:$B$6,0),MATCH($D18,Data!$B$4:$K$4,0))</f>
        <v>77.168869999999998</v>
      </c>
      <c r="R18" s="113">
        <f>INDEX(Data!$B$4:$K$6,MATCH(Data!$B$5,Data!$B$4:$B$6,0),MATCH($D18,Data!$B$4:$K$4,0))</f>
        <v>77.168869999999998</v>
      </c>
      <c r="S18" s="113">
        <f>INDEX(Data!$B$4:$K$6,MATCH(Data!$B$5,Data!$B$4:$B$6,0),MATCH($D18,Data!$B$4:$K$4,0))</f>
        <v>77.168869999999998</v>
      </c>
      <c r="T18" s="113">
        <f>INDEX(Data!$B$4:$K$6,MATCH(Data!$B$5,Data!$B$4:$B$6,0),MATCH($D18,Data!$B$4:$K$4,0))</f>
        <v>77.168869999999998</v>
      </c>
      <c r="U18" s="113">
        <f>INDEX(Data!$B$4:$K$6,MATCH(Data!$B$5,Data!$B$4:$B$6,0),MATCH($D18,Data!$B$4:$K$4,0))</f>
        <v>77.168869999999998</v>
      </c>
      <c r="V18" s="113">
        <f>INDEX(Data!$B$4:$K$6,MATCH(Data!$B$5,Data!$B$4:$B$6,0),MATCH($D18,Data!$B$4:$K$4,0))</f>
        <v>77.168869999999998</v>
      </c>
      <c r="W18" s="113">
        <f>INDEX(Data!$B$4:$K$6,MATCH(Data!$B$5,Data!$B$4:$B$6,0),MATCH($D18,Data!$B$4:$K$4,0))</f>
        <v>77.168869999999998</v>
      </c>
      <c r="X18" s="113">
        <f>INDEX(Data!$B$4:$K$6,MATCH(Data!$B$5,Data!$B$4:$B$6,0),MATCH($D18,Data!$B$4:$K$4,0))</f>
        <v>77.168869999999998</v>
      </c>
      <c r="Y18" s="113">
        <f>INDEX(Data!$B$4:$K$6,MATCH(Data!$B$5,Data!$B$4:$B$6,0),MATCH($D18,Data!$B$4:$K$4,0))</f>
        <v>77.168869999999998</v>
      </c>
      <c r="Z18" s="113">
        <f>INDEX(Data!$B$4:$K$6,MATCH(Data!$B$5,Data!$B$4:$B$6,0),MATCH($D18,Data!$B$4:$K$4,0))</f>
        <v>77.168869999999998</v>
      </c>
      <c r="AA18" s="113">
        <f>INDEX(Data!$B$4:$K$6,MATCH(Data!$B$5,Data!$B$4:$B$6,0),MATCH($D18,Data!$B$4:$K$4,0))</f>
        <v>77.168869999999998</v>
      </c>
      <c r="AB18" s="113">
        <f>INDEX(Data!$B$4:$K$6,MATCH(Data!$B$5,Data!$B$4:$B$6,0),MATCH($D18,Data!$B$4:$K$4,0))</f>
        <v>77.168869999999998</v>
      </c>
      <c r="AC18" s="113">
        <f>INDEX(Data!$B$4:$K$6,MATCH(Data!$B$5,Data!$B$4:$B$6,0),MATCH($D18,Data!$B$4:$K$4,0))</f>
        <v>77.168869999999998</v>
      </c>
      <c r="AD18" s="113">
        <f>INDEX(Data!$B$4:$K$6,MATCH(Data!$B$5,Data!$B$4:$B$6,0),MATCH($D18,Data!$B$4:$K$4,0))</f>
        <v>77.168869999999998</v>
      </c>
    </row>
    <row r="19" spans="2:30" x14ac:dyDescent="0.35">
      <c r="B19" s="81"/>
      <c r="C19" s="15" t="s">
        <v>134</v>
      </c>
      <c r="D19" s="35"/>
      <c r="E19" s="22" t="s">
        <v>115</v>
      </c>
      <c r="F19" s="18" t="s">
        <v>116</v>
      </c>
      <c r="G19" s="18" t="s">
        <v>117</v>
      </c>
      <c r="H19" s="29">
        <f>H18/1000</f>
        <v>7.7168870000000001E-2</v>
      </c>
      <c r="I19" s="29">
        <f t="shared" ref="I19:AD19" si="2">I18/1000</f>
        <v>7.7168870000000001E-2</v>
      </c>
      <c r="J19" s="29">
        <f t="shared" si="2"/>
        <v>7.7168870000000001E-2</v>
      </c>
      <c r="K19" s="29">
        <f t="shared" si="2"/>
        <v>7.7168870000000001E-2</v>
      </c>
      <c r="L19" s="29">
        <f t="shared" si="2"/>
        <v>7.7168870000000001E-2</v>
      </c>
      <c r="M19" s="29">
        <f t="shared" si="2"/>
        <v>7.7168870000000001E-2</v>
      </c>
      <c r="N19" s="29">
        <f t="shared" si="2"/>
        <v>7.7168870000000001E-2</v>
      </c>
      <c r="O19" s="29">
        <f t="shared" si="2"/>
        <v>7.7168870000000001E-2</v>
      </c>
      <c r="P19" s="29">
        <f t="shared" si="2"/>
        <v>7.7168870000000001E-2</v>
      </c>
      <c r="Q19" s="29">
        <f t="shared" si="2"/>
        <v>7.7168870000000001E-2</v>
      </c>
      <c r="R19" s="29">
        <f t="shared" si="2"/>
        <v>7.7168870000000001E-2</v>
      </c>
      <c r="S19" s="29">
        <f t="shared" si="2"/>
        <v>7.7168870000000001E-2</v>
      </c>
      <c r="T19" s="29">
        <f t="shared" si="2"/>
        <v>7.7168870000000001E-2</v>
      </c>
      <c r="U19" s="29">
        <f t="shared" si="2"/>
        <v>7.7168870000000001E-2</v>
      </c>
      <c r="V19" s="29">
        <f t="shared" si="2"/>
        <v>7.7168870000000001E-2</v>
      </c>
      <c r="W19" s="29">
        <f t="shared" si="2"/>
        <v>7.7168870000000001E-2</v>
      </c>
      <c r="X19" s="29">
        <f t="shared" si="2"/>
        <v>7.7168870000000001E-2</v>
      </c>
      <c r="Y19" s="29">
        <f t="shared" si="2"/>
        <v>7.7168870000000001E-2</v>
      </c>
      <c r="Z19" s="29">
        <f t="shared" si="2"/>
        <v>7.7168870000000001E-2</v>
      </c>
      <c r="AA19" s="29">
        <f t="shared" si="2"/>
        <v>7.7168870000000001E-2</v>
      </c>
      <c r="AB19" s="29">
        <f t="shared" si="2"/>
        <v>7.7168870000000001E-2</v>
      </c>
      <c r="AC19" s="29">
        <f t="shared" si="2"/>
        <v>7.7168870000000001E-2</v>
      </c>
      <c r="AD19" s="29">
        <f t="shared" si="2"/>
        <v>7.7168870000000001E-2</v>
      </c>
    </row>
    <row r="20" spans="2:30" x14ac:dyDescent="0.35">
      <c r="B20" s="81"/>
      <c r="C20" s="15" t="s">
        <v>135</v>
      </c>
      <c r="D20" s="35"/>
      <c r="E20" s="22" t="s">
        <v>119</v>
      </c>
      <c r="F20" s="18" t="s">
        <v>136</v>
      </c>
      <c r="G20" s="18" t="s">
        <v>137</v>
      </c>
      <c r="H20" s="29">
        <f>MAX((H18-H$4),0)*Data!$E$6</f>
        <v>0</v>
      </c>
      <c r="I20" s="29">
        <f>MAX((I18-I$4),0)*Data!$E$6</f>
        <v>0</v>
      </c>
      <c r="J20" s="29">
        <f>MAX((J18-J$4),0)*Data!$E$6</f>
        <v>0</v>
      </c>
      <c r="K20" s="29">
        <f>MAX((K18-K$4),0)*Data!$E$6</f>
        <v>0</v>
      </c>
      <c r="L20" s="29">
        <f>MAX((L18-L$4),0)*Data!$E$6</f>
        <v>0</v>
      </c>
      <c r="M20" s="29">
        <f>MAX((M18-M$4),0)*Data!$E$6</f>
        <v>0.14666849400000012</v>
      </c>
      <c r="N20" s="29">
        <f>MAX((N18-N$4),0)*Data!$E$6</f>
        <v>0.311697534</v>
      </c>
      <c r="O20" s="29">
        <f>MAX((O18-O$4),0)*Data!$E$6</f>
        <v>0.4767265740000427</v>
      </c>
      <c r="P20" s="29">
        <f>MAX((P18-P$4),0)*Data!$E$6</f>
        <v>0.7392727740000169</v>
      </c>
      <c r="Q20" s="29">
        <f>MAX((Q18-Q$4),0)*Data!$E$6</f>
        <v>1.0018189739999914</v>
      </c>
      <c r="R20" s="29">
        <f>MAX((R18-R$4),0)*Data!$E$6</f>
        <v>1.2643651740000725</v>
      </c>
      <c r="S20" s="29">
        <f>MAX((S18-S$4),0)*Data!$E$6</f>
        <v>1.5269113740000468</v>
      </c>
      <c r="T20" s="29">
        <f>MAX((T18-T$4),0)*Data!$E$6</f>
        <v>1.7894575740000214</v>
      </c>
      <c r="U20" s="29">
        <f>MAX((U18-U$4),0)*Data!$E$6</f>
        <v>1.901977373999999</v>
      </c>
      <c r="V20" s="29">
        <f>MAX((V18-V$4),0)*Data!$E$6</f>
        <v>2.0144971740000033</v>
      </c>
      <c r="W20" s="29">
        <f>MAX((W18-W$4),0)*Data!$E$6</f>
        <v>2.1270169740000076</v>
      </c>
      <c r="X20" s="29">
        <f>MAX((X18-X$4),0)*Data!$E$6</f>
        <v>2.2395367740000118</v>
      </c>
      <c r="Y20" s="29">
        <f>MAX((Y18-Y$4),0)*Data!$E$6</f>
        <v>2.352056573999989</v>
      </c>
      <c r="Z20" s="29">
        <f>MAX((Z18-Z$4),0)*Data!$E$6</f>
        <v>2.4645763739999933</v>
      </c>
      <c r="AA20" s="29">
        <f>MAX((AA18-AA$4),0)*Data!$E$6</f>
        <v>2.5770961739999976</v>
      </c>
      <c r="AB20" s="29">
        <f>MAX((AB18-AB$4),0)*Data!$E$6</f>
        <v>2.6896159740000019</v>
      </c>
      <c r="AC20" s="29">
        <f>MAX((AC18-AC$4),0)*Data!$E$6</f>
        <v>2.8021357740000061</v>
      </c>
      <c r="AD20" s="29">
        <f>MAX((AD18-AD$4),0)*Data!$E$6</f>
        <v>2.9146555740000104</v>
      </c>
    </row>
    <row r="21" spans="2:30" x14ac:dyDescent="0.35">
      <c r="B21" s="81"/>
      <c r="C21" s="15" t="s">
        <v>138</v>
      </c>
      <c r="E21" s="22" t="s">
        <v>123</v>
      </c>
      <c r="F21" s="18" t="s">
        <v>139</v>
      </c>
      <c r="G21" s="18" t="s">
        <v>137</v>
      </c>
      <c r="H21" s="29">
        <f>MIN(MAX(0,(H$18-H$5)),(H$4-H$5))*Data!$E$6</f>
        <v>0</v>
      </c>
      <c r="I21" s="29">
        <f>MIN(MAX(0,(I$18-I$5)),(I$4-I$5))*Data!$E$6</f>
        <v>6.4153974000000197E-2</v>
      </c>
      <c r="J21" s="29">
        <f>MIN(MAX(0,(J$18-J$5)),(J$4-J$5))*Data!$E$6</f>
        <v>0.13916717399999962</v>
      </c>
      <c r="K21" s="29">
        <f>MIN(MAX(0,(K$18-K$5)),(K$4-K$5))*Data!$E$6</f>
        <v>0.30419621400000002</v>
      </c>
      <c r="L21" s="29">
        <f>MIN(MAX(0,(L$18-L$5)),(L$4-L$5))*Data!$E$6</f>
        <v>0.46922525399999987</v>
      </c>
      <c r="M21" s="29">
        <f>MIN(MAX(0,(M$18-M$5)),(M$4-M$5))*Data!$E$6</f>
        <v>0.48758579999999963</v>
      </c>
      <c r="N21" s="29">
        <f>MIN(MAX(0,(N$18-N$5)),(N$4-N$5))*Data!$E$6</f>
        <v>0.48758580000000018</v>
      </c>
      <c r="O21" s="29">
        <f>MIN(MAX(0,(O$18-O$5)),(O$4-O$5))*Data!$E$6</f>
        <v>0.4875857999999999</v>
      </c>
      <c r="P21" s="29">
        <f>MIN(MAX(0,(P$18-P$5)),(P$4-P$5))*Data!$E$6</f>
        <v>0.48758580000000018</v>
      </c>
      <c r="Q21" s="29">
        <f>MIN(MAX(0,(Q$18-Q$5)),(Q$4-Q$5))*Data!$E$6</f>
        <v>0.4875857999999999</v>
      </c>
      <c r="R21" s="29">
        <f>MIN(MAX(0,(R$18-R$5)),(R$4-R$5))*Data!$E$6</f>
        <v>0.4875857999999999</v>
      </c>
      <c r="S21" s="29">
        <f>MIN(MAX(0,(S$18-S$5)),(S$4-S$5))*Data!$E$6</f>
        <v>0.48758580000000007</v>
      </c>
      <c r="T21" s="29">
        <f>MIN(MAX(0,(T$18-T$5)),(T$4-T$5))*Data!$E$6</f>
        <v>0.48758580000000007</v>
      </c>
      <c r="U21" s="29">
        <f>MIN(MAX(0,(U$18-U$5)),(U$4-U$5))*Data!$E$6</f>
        <v>0.48758580000000007</v>
      </c>
      <c r="V21" s="29">
        <f>MIN(MAX(0,(V$18-V$5)),(V$4-V$5))*Data!$E$6</f>
        <v>0.48758580000000007</v>
      </c>
      <c r="W21" s="29">
        <f>MIN(MAX(0,(W$18-W$5)),(W$4-W$5))*Data!$E$6</f>
        <v>0.48758580000000007</v>
      </c>
      <c r="X21" s="29">
        <f>MIN(MAX(0,(X$18-X$5)),(X$4-X$5))*Data!$E$6</f>
        <v>0.48758580000000007</v>
      </c>
      <c r="Y21" s="29">
        <f>MIN(MAX(0,(Y$18-Y$5)),(Y$4-Y$5))*Data!$E$6</f>
        <v>0.4875857999999999</v>
      </c>
      <c r="Z21" s="29">
        <f>MIN(MAX(0,(Z$18-Z$5)),(Z$4-Z$5))*Data!$E$6</f>
        <v>0.48758579999999996</v>
      </c>
      <c r="AA21" s="29">
        <f>MIN(MAX(0,(AA$18-AA$5)),(AA$4-AA$5))*Data!$E$6</f>
        <v>0.48758579999999996</v>
      </c>
      <c r="AB21" s="29">
        <f>MIN(MAX(0,(AB$18-AB$5)),(AB$4-AB$5))*Data!$E$6</f>
        <v>0.41257259999999785</v>
      </c>
      <c r="AC21" s="29">
        <f>MIN(MAX(0,(AC$18-AC$5)),(AC$4-AC$5))*Data!$E$6</f>
        <v>0.30005279999999357</v>
      </c>
      <c r="AD21" s="29">
        <f>MIN(MAX(0,(AD$18-AD$5)),(AD$4-AD$5))*Data!$E$6</f>
        <v>0.18753299999998932</v>
      </c>
    </row>
    <row r="22" spans="2:30" x14ac:dyDescent="0.35">
      <c r="B22" s="81"/>
      <c r="C22" s="15" t="s">
        <v>140</v>
      </c>
      <c r="D22" s="35"/>
      <c r="E22" s="22" t="s">
        <v>141</v>
      </c>
      <c r="F22" s="18" t="s">
        <v>136</v>
      </c>
      <c r="G22" s="18" t="s">
        <v>142</v>
      </c>
      <c r="H22" s="29">
        <f>MIN((H18-H$5),0)*Data!$E$6</f>
        <v>-1.0859225999999784E-2</v>
      </c>
      <c r="I22" s="29">
        <f>MIN((I18-I$5),0)*Data!$E$6</f>
        <v>0</v>
      </c>
      <c r="J22" s="29">
        <f>MIN((J18-J$5),0)*Data!$E$6</f>
        <v>0</v>
      </c>
      <c r="K22" s="29">
        <f>MIN((K18-K$5),0)*Data!$E$6</f>
        <v>0</v>
      </c>
      <c r="L22" s="29">
        <f>MIN((L18-L$5),0)*Data!$E$6</f>
        <v>0</v>
      </c>
      <c r="M22" s="29">
        <f>MIN((M18-M$5),0)*Data!$E$6</f>
        <v>0</v>
      </c>
      <c r="N22" s="29">
        <f>MIN((N18-N$5),0)*Data!$E$6</f>
        <v>0</v>
      </c>
      <c r="O22" s="29">
        <f>MIN((O18-O$5),0)*Data!$E$6</f>
        <v>0</v>
      </c>
      <c r="P22" s="29">
        <f>MIN((P18-P$5),0)*Data!$E$6</f>
        <v>0</v>
      </c>
      <c r="Q22" s="29">
        <f>MIN((Q18-Q$5),0)*Data!$E$6</f>
        <v>0</v>
      </c>
      <c r="R22" s="29">
        <f>MIN((R18-R$5),0)*Data!$E$6</f>
        <v>0</v>
      </c>
      <c r="S22" s="29">
        <f>MIN((S18-S$5),0)*Data!$E$6</f>
        <v>0</v>
      </c>
      <c r="T22" s="29">
        <f>MIN((T18-T$5),0)*Data!$E$6</f>
        <v>0</v>
      </c>
      <c r="U22" s="29">
        <f>MIN((U18-U$5),0)*Data!$E$6</f>
        <v>0</v>
      </c>
      <c r="V22" s="29">
        <f>MIN((V18-V$5),0)*Data!$E$6</f>
        <v>0</v>
      </c>
      <c r="W22" s="29">
        <f>MIN((W18-W$5),0)*Data!$E$6</f>
        <v>0</v>
      </c>
      <c r="X22" s="29">
        <f>MIN((X18-X$5),0)*Data!$E$6</f>
        <v>0</v>
      </c>
      <c r="Y22" s="29">
        <f>MIN((Y18-Y$5),0)*Data!$E$6</f>
        <v>0</v>
      </c>
      <c r="Z22" s="29">
        <f>MIN((Z18-Z$5),0)*Data!$E$6</f>
        <v>0</v>
      </c>
      <c r="AA22" s="29">
        <f>MIN((AA18-AA$5),0)*Data!$E$6</f>
        <v>0</v>
      </c>
      <c r="AB22" s="29">
        <f>MIN((AB18-AB$5),0)*Data!$E$6</f>
        <v>0</v>
      </c>
      <c r="AC22" s="29">
        <f>MIN((AC18-AC$5),0)*Data!$E$6</f>
        <v>0</v>
      </c>
      <c r="AD22" s="29">
        <f>MIN((AD18-AD$5),0)*Data!$E$6</f>
        <v>0</v>
      </c>
    </row>
    <row r="23" spans="2:30" x14ac:dyDescent="0.35">
      <c r="B23" s="81"/>
      <c r="C23" s="15" t="s">
        <v>143</v>
      </c>
      <c r="D23" s="106" t="str">
        <f>'CCC Summary'!$C$35</f>
        <v>MMM LNG</v>
      </c>
      <c r="E23" s="22" t="s">
        <v>107</v>
      </c>
      <c r="F23" s="18" t="str">
        <f>IF('CCC Summary'!$C$25="Yes",'CCC Summary'!$D$25,"")</f>
        <v/>
      </c>
      <c r="G23" s="18" t="s">
        <v>126</v>
      </c>
      <c r="H23" s="113">
        <f>IF($D$23="Enter fixed price",'CCC Summary'!$C$36/(Data!$E$6*1000),INDEX(Data!$B$26:$AA$35,MATCH($D$23,Data!$B$26:$B$35,0),MATCH(H$3,Data!$B$26:$AA$26,0)))</f>
        <v>13.513486979796285</v>
      </c>
      <c r="I23" s="113">
        <f>IF($D$23="Enter fixed price",'CCC Summary'!$C$36/(Data!$E$6*1000),INDEX(Data!$B$26:$AA$35,MATCH($D$23,Data!$B$26:$B$35,0),MATCH(I$3,Data!$B$26:$AA$26,0)))</f>
        <v>12.461687677007411</v>
      </c>
      <c r="J23" s="113">
        <f>IF($D$23="Enter fixed price",'CCC Summary'!$C$36/(Data!$E$6*1000),INDEX(Data!$B$26:$AA$35,MATCH($D$23,Data!$B$26:$B$35,0),MATCH(J$3,Data!$B$26:$AA$26,0)))</f>
        <v>11.409888374218541</v>
      </c>
      <c r="K23" s="113">
        <f>IF($D$23="Enter fixed price",'CCC Summary'!$C$36/(Data!$E$6*1000),INDEX(Data!$B$26:$AA$35,MATCH($D$23,Data!$B$26:$B$35,0),MATCH(K$3,Data!$B$26:$AA$26,0)))</f>
        <v>11.404711335629472</v>
      </c>
      <c r="L23" s="113">
        <f>IF($D$23="Enter fixed price",'CCC Summary'!$C$36/(Data!$E$6*1000),INDEX(Data!$B$26:$AA$35,MATCH($D$23,Data!$B$26:$B$35,0),MATCH(L$3,Data!$B$26:$AA$26,0)))</f>
        <v>11.399534297040399</v>
      </c>
      <c r="M23" s="113">
        <f>IF($D$23="Enter fixed price",'CCC Summary'!$C$36/(Data!$E$6*1000),INDEX(Data!$B$26:$AA$35,MATCH($D$23,Data!$B$26:$B$35,0),MATCH(M$3,Data!$B$26:$AA$26,0)))</f>
        <v>11.394357258451331</v>
      </c>
      <c r="N23" s="113">
        <f>IF($D$23="Enter fixed price",'CCC Summary'!$C$36/(Data!$E$6*1000),INDEX(Data!$B$26:$AA$35,MATCH($D$23,Data!$B$26:$B$35,0),MATCH(N$3,Data!$B$26:$AA$26,0)))</f>
        <v>11.389180219862256</v>
      </c>
      <c r="O23" s="113">
        <f>IF($D$23="Enter fixed price",'CCC Summary'!$C$36/(Data!$E$6*1000),INDEX(Data!$B$26:$AA$35,MATCH($D$23,Data!$B$26:$B$35,0),MATCH(O$3,Data!$B$26:$AA$26,0)))</f>
        <v>11.384003181273181</v>
      </c>
      <c r="P23" s="113">
        <f>IF($D$23="Enter fixed price",'CCC Summary'!$C$36/(Data!$E$6*1000),INDEX(Data!$B$26:$AA$35,MATCH($D$23,Data!$B$26:$B$35,0),MATCH(P$3,Data!$B$26:$AA$26,0)))</f>
        <v>11.359334171568827</v>
      </c>
      <c r="Q23" s="113">
        <f>IF($D$23="Enter fixed price",'CCC Summary'!$C$36/(Data!$E$6*1000),INDEX(Data!$B$26:$AA$35,MATCH($D$23,Data!$B$26:$B$35,0),MATCH(Q$3,Data!$B$26:$AA$26,0)))</f>
        <v>11.334665161864466</v>
      </c>
      <c r="R23" s="113">
        <f>IF($D$23="Enter fixed price",'CCC Summary'!$C$36/(Data!$E$6*1000),INDEX(Data!$B$26:$AA$35,MATCH($D$23,Data!$B$26:$B$35,0),MATCH(R$3,Data!$B$26:$AA$26,0)))</f>
        <v>11.309996152160105</v>
      </c>
      <c r="S23" s="113">
        <f>IF($D$23="Enter fixed price",'CCC Summary'!$C$36/(Data!$E$6*1000),INDEX(Data!$B$26:$AA$35,MATCH($D$23,Data!$B$26:$B$35,0),MATCH(S$3,Data!$B$26:$AA$26,0)))</f>
        <v>11.285327142455742</v>
      </c>
      <c r="T23" s="113">
        <f>IF($D$23="Enter fixed price",'CCC Summary'!$C$36/(Data!$E$6*1000),INDEX(Data!$B$26:$AA$35,MATCH($D$23,Data!$B$26:$B$35,0),MATCH(T$3,Data!$B$26:$AA$26,0)))</f>
        <v>11.26065813275139</v>
      </c>
      <c r="U23" s="113">
        <f>IF($D$23="Enter fixed price",'CCC Summary'!$C$36/(Data!$E$6*1000),INDEX(Data!$B$26:$AA$35,MATCH($D$23,Data!$B$26:$B$35,0),MATCH(U$3,Data!$B$26:$AA$26,0)))</f>
        <v>11.236676488740128</v>
      </c>
      <c r="V23" s="113">
        <f>IF($D$23="Enter fixed price",'CCC Summary'!$C$36/(Data!$E$6*1000),INDEX(Data!$B$26:$AA$35,MATCH($D$23,Data!$B$26:$B$35,0),MATCH(V$3,Data!$B$26:$AA$26,0)))</f>
        <v>11.212694844728878</v>
      </c>
      <c r="W23" s="113">
        <f>IF($D$23="Enter fixed price",'CCC Summary'!$C$36/(Data!$E$6*1000),INDEX(Data!$B$26:$AA$35,MATCH($D$23,Data!$B$26:$B$35,0),MATCH(W$3,Data!$B$26:$AA$26,0)))</f>
        <v>11.18871320071762</v>
      </c>
      <c r="X23" s="113">
        <f>IF($D$23="Enter fixed price",'CCC Summary'!$C$36/(Data!$E$6*1000),INDEX(Data!$B$26:$AA$35,MATCH($D$23,Data!$B$26:$B$35,0),MATCH(X$3,Data!$B$26:$AA$26,0)))</f>
        <v>11.164731556706363</v>
      </c>
      <c r="Y23" s="113">
        <f>IF($D$23="Enter fixed price",'CCC Summary'!$C$36/(Data!$E$6*1000),INDEX(Data!$B$26:$AA$35,MATCH($D$23,Data!$B$26:$B$35,0),MATCH(Y$3,Data!$B$26:$AA$26,0)))</f>
        <v>11.140749912695105</v>
      </c>
      <c r="Z23" s="113">
        <f>IF($D$23="Enter fixed price",'CCC Summary'!$C$36/(Data!$E$6*1000),INDEX(Data!$B$26:$AA$35,MATCH($D$23,Data!$B$26:$B$35,0),MATCH(Z$3,Data!$B$26:$AA$26,0)))</f>
        <v>11.119938841184348</v>
      </c>
      <c r="AA23" s="113">
        <f>IF($D$23="Enter fixed price",'CCC Summary'!$C$36/(Data!$E$6*1000),INDEX(Data!$B$26:$AA$35,MATCH($D$23,Data!$B$26:$B$35,0),MATCH(AA$3,Data!$B$26:$AA$26,0)))</f>
        <v>11.099127769673593</v>
      </c>
      <c r="AB23" s="113">
        <f>IF($D$23="Enter fixed price",'CCC Summary'!$C$36/(Data!$E$6*1000),INDEX(Data!$B$26:$AA$35,MATCH($D$23,Data!$B$26:$B$35,0),MATCH(AB$3,Data!$B$26:$AA$26,0)))</f>
        <v>11.078316698162839</v>
      </c>
      <c r="AC23" s="113">
        <f>IF($D$23="Enter fixed price",'CCC Summary'!$C$36/(Data!$E$6*1000),INDEX(Data!$B$26:$AA$35,MATCH($D$23,Data!$B$26:$B$35,0),MATCH(AC$3,Data!$B$26:$AA$26,0)))</f>
        <v>11.057505626652086</v>
      </c>
      <c r="AD23" s="113">
        <f>IF($D$23="Enter fixed price",'CCC Summary'!$C$36/(Data!$E$6*1000),INDEX(Data!$B$26:$AA$35,MATCH($D$23,Data!$B$26:$B$35,0),MATCH(AD$3,Data!$B$26:$AA$26,0)))</f>
        <v>11.036694555141331</v>
      </c>
    </row>
    <row r="24" spans="2:30" x14ac:dyDescent="0.35">
      <c r="B24" s="81"/>
      <c r="C24" s="82" t="s">
        <v>144</v>
      </c>
      <c r="D24" s="35"/>
      <c r="E24" s="22"/>
      <c r="F24" s="18"/>
      <c r="G24" s="18" t="s">
        <v>145</v>
      </c>
      <c r="H24" s="113">
        <f>MAX(H20*Data!E15,0)</f>
        <v>0</v>
      </c>
      <c r="I24" s="113">
        <f>MAX(I20*Data!F15,0)</f>
        <v>0</v>
      </c>
      <c r="J24" s="113">
        <f>MAX(J20*Data!G15,0)</f>
        <v>0</v>
      </c>
      <c r="K24" s="113">
        <f>MAX(K20*Data!H15,0)</f>
        <v>0</v>
      </c>
      <c r="L24" s="113">
        <f>MAX(L20*Data!I15,0)</f>
        <v>0</v>
      </c>
      <c r="M24" s="113">
        <f>MAX(M20*Data!J15,0)</f>
        <v>55.734027720000043</v>
      </c>
      <c r="N24" s="113">
        <f>MAX(N20*Data!K15,0)</f>
        <v>118.44506292</v>
      </c>
      <c r="O24" s="113">
        <f>MAX(O20*Data!L15,0)</f>
        <v>181.15609812001622</v>
      </c>
      <c r="P24" s="113">
        <f>MAX(P20*Data!M15,0)</f>
        <v>280.9236541200064</v>
      </c>
      <c r="Q24" s="113">
        <f>MAX(Q20*Data!N15,0)</f>
        <v>380.69121011999675</v>
      </c>
      <c r="R24" s="113">
        <f>MAX(R20*Data!O15,0)</f>
        <v>480.45876612002758</v>
      </c>
      <c r="S24" s="113">
        <f>MAX(S20*Data!P15,0)</f>
        <v>580.22632212001781</v>
      </c>
      <c r="T24" s="113">
        <f>MAX(T20*Data!Q15,0)</f>
        <v>679.99387812000816</v>
      </c>
      <c r="U24" s="113">
        <f>MAX(U20*Data!R15,0)</f>
        <v>722.75140211999963</v>
      </c>
      <c r="V24" s="113">
        <f>MAX(V20*Data!S15,0)</f>
        <v>765.50892612000121</v>
      </c>
      <c r="W24" s="113">
        <f>MAX(W20*Data!T15,0)</f>
        <v>808.2664501200029</v>
      </c>
      <c r="X24" s="113">
        <f>MAX(X20*Data!U15,0)</f>
        <v>851.02397412000448</v>
      </c>
      <c r="Y24" s="113">
        <f>MAX(Y20*Data!V15,0)</f>
        <v>893.78149811999583</v>
      </c>
      <c r="Z24" s="113">
        <f>MAX(Z20*Data!W15,0)</f>
        <v>936.53902211999741</v>
      </c>
      <c r="AA24" s="113">
        <f>MAX(AA20*Data!X15,0)</f>
        <v>979.29654611999911</v>
      </c>
      <c r="AB24" s="113">
        <f>MAX(AB20*Data!Y15,0)</f>
        <v>1022.0540701200007</v>
      </c>
      <c r="AC24" s="113">
        <f>MAX(AC20*Data!Z15,0)</f>
        <v>1064.8115941200024</v>
      </c>
      <c r="AD24" s="113">
        <f>MAX(AD20*Data!AA15,0)</f>
        <v>1107.5691181200038</v>
      </c>
    </row>
    <row r="25" spans="2:30" x14ac:dyDescent="0.35">
      <c r="B25" s="81"/>
      <c r="C25" s="83" t="s">
        <v>146</v>
      </c>
      <c r="D25" s="108"/>
      <c r="E25" s="84" t="s">
        <v>128</v>
      </c>
      <c r="F25" s="25" t="s">
        <v>129</v>
      </c>
      <c r="G25" s="25" t="s">
        <v>145</v>
      </c>
      <c r="H25" s="114">
        <f>H21*Data!E16</f>
        <v>0</v>
      </c>
      <c r="I25" s="114">
        <f>I21*Data!F16</f>
        <v>6.4153974000000193</v>
      </c>
      <c r="J25" s="114">
        <f>J21*Data!G16</f>
        <v>13.916717399999962</v>
      </c>
      <c r="K25" s="114">
        <f>K21*Data!H16</f>
        <v>30.4196214</v>
      </c>
      <c r="L25" s="114">
        <f>L21*Data!I16</f>
        <v>46.922525399999984</v>
      </c>
      <c r="M25" s="114">
        <f>M21*Data!J16</f>
        <v>48.758579999999959</v>
      </c>
      <c r="N25" s="114">
        <f>N21*Data!K16</f>
        <v>48.758580000000016</v>
      </c>
      <c r="O25" s="114">
        <f>O21*Data!L16</f>
        <v>48.758579999999988</v>
      </c>
      <c r="P25" s="114">
        <f>P21*Data!M16</f>
        <v>48.758580000000016</v>
      </c>
      <c r="Q25" s="114">
        <f>Q21*Data!N16</f>
        <v>48.758579999999988</v>
      </c>
      <c r="R25" s="114">
        <f>R21*Data!O16</f>
        <v>48.758579999999988</v>
      </c>
      <c r="S25" s="114">
        <f>S21*Data!P16</f>
        <v>48.758580000000009</v>
      </c>
      <c r="T25" s="114">
        <f>T21*Data!Q16</f>
        <v>48.758580000000009</v>
      </c>
      <c r="U25" s="114">
        <f>U21*Data!R16</f>
        <v>48.758580000000009</v>
      </c>
      <c r="V25" s="114">
        <f>V21*Data!S16</f>
        <v>48.758580000000009</v>
      </c>
      <c r="W25" s="114">
        <f>W21*Data!T16</f>
        <v>48.758580000000009</v>
      </c>
      <c r="X25" s="114">
        <f>X21*Data!U16</f>
        <v>48.758580000000009</v>
      </c>
      <c r="Y25" s="114">
        <f>Y21*Data!V16</f>
        <v>48.758579999999988</v>
      </c>
      <c r="Z25" s="114">
        <f>Z21*Data!W16</f>
        <v>48.758579999999995</v>
      </c>
      <c r="AA25" s="114">
        <f>AA21*Data!X16</f>
        <v>48.758579999999995</v>
      </c>
      <c r="AB25" s="114">
        <f>AB21*Data!Y16</f>
        <v>41.257259999999782</v>
      </c>
      <c r="AC25" s="114">
        <f>AC21*Data!Z16</f>
        <v>30.005279999999356</v>
      </c>
      <c r="AD25" s="114">
        <f>AD21*Data!AA16</f>
        <v>18.753299999998934</v>
      </c>
    </row>
    <row r="26" spans="2:30" x14ac:dyDescent="0.35">
      <c r="B26" s="81" t="s">
        <v>18</v>
      </c>
      <c r="C26" s="15" t="s">
        <v>147</v>
      </c>
      <c r="D26" s="109" t="s">
        <v>18</v>
      </c>
      <c r="E26" s="22" t="s">
        <v>107</v>
      </c>
      <c r="F26" s="39"/>
      <c r="G26" s="18" t="s">
        <v>104</v>
      </c>
      <c r="H26" s="113">
        <f>INDEX(Data!$B$4:$K$6,MATCH(Data!$B$5,Data!$B$4:$B$6,0),MATCH($D26,Data!$B$4:$K$4,0))</f>
        <v>22.275539999999999</v>
      </c>
      <c r="I26" s="113">
        <f>INDEX(Data!$B$4:$K$6,MATCH(Data!$B$5,Data!$B$4:$B$6,0),MATCH($D26,Data!$B$4:$K$4,0))</f>
        <v>22.275539999999999</v>
      </c>
      <c r="J26" s="113">
        <f>INDEX(Data!$B$4:$K$6,MATCH(Data!$B$5,Data!$B$4:$B$6,0),MATCH($D26,Data!$B$4:$K$4,0))</f>
        <v>22.275539999999999</v>
      </c>
      <c r="K26" s="113">
        <f>INDEX(Data!$B$4:$K$6,MATCH(Data!$B$5,Data!$B$4:$B$6,0),MATCH($D26,Data!$B$4:$K$4,0))</f>
        <v>22.275539999999999</v>
      </c>
      <c r="L26" s="113">
        <f>INDEX(Data!$B$4:$K$6,MATCH(Data!$B$5,Data!$B$4:$B$6,0),MATCH($D26,Data!$B$4:$K$4,0))</f>
        <v>22.275539999999999</v>
      </c>
      <c r="M26" s="113">
        <f>INDEX(Data!$B$4:$K$6,MATCH(Data!$B$5,Data!$B$4:$B$6,0),MATCH($D26,Data!$B$4:$K$4,0))</f>
        <v>22.275539999999999</v>
      </c>
      <c r="N26" s="113">
        <f>INDEX(Data!$B$4:$K$6,MATCH(Data!$B$5,Data!$B$4:$B$6,0),MATCH($D26,Data!$B$4:$K$4,0))</f>
        <v>22.275539999999999</v>
      </c>
      <c r="O26" s="113">
        <f>INDEX(Data!$B$4:$K$6,MATCH(Data!$B$5,Data!$B$4:$B$6,0),MATCH($D26,Data!$B$4:$K$4,0))</f>
        <v>22.275539999999999</v>
      </c>
      <c r="P26" s="113">
        <f>INDEX(Data!$B$4:$K$6,MATCH(Data!$B$5,Data!$B$4:$B$6,0),MATCH($D26,Data!$B$4:$K$4,0))</f>
        <v>22.275539999999999</v>
      </c>
      <c r="Q26" s="113">
        <f>INDEX(Data!$B$4:$K$6,MATCH(Data!$B$5,Data!$B$4:$B$6,0),MATCH($D26,Data!$B$4:$K$4,0))</f>
        <v>22.275539999999999</v>
      </c>
      <c r="R26" s="113">
        <f>INDEX(Data!$B$4:$K$6,MATCH(Data!$B$5,Data!$B$4:$B$6,0),MATCH($D26,Data!$B$4:$K$4,0))</f>
        <v>22.275539999999999</v>
      </c>
      <c r="S26" s="113">
        <f>INDEX(Data!$B$4:$K$6,MATCH(Data!$B$5,Data!$B$4:$B$6,0),MATCH($D26,Data!$B$4:$K$4,0))</f>
        <v>22.275539999999999</v>
      </c>
      <c r="T26" s="113">
        <f>INDEX(Data!$B$4:$K$6,MATCH(Data!$B$5,Data!$B$4:$B$6,0),MATCH($D26,Data!$B$4:$K$4,0))</f>
        <v>22.275539999999999</v>
      </c>
      <c r="U26" s="113">
        <f>INDEX(Data!$B$4:$K$6,MATCH(Data!$B$5,Data!$B$4:$B$6,0),MATCH($D26,Data!$B$4:$K$4,0))</f>
        <v>22.275539999999999</v>
      </c>
      <c r="V26" s="113">
        <f>INDEX(Data!$B$4:$K$6,MATCH(Data!$B$5,Data!$B$4:$B$6,0),MATCH($D26,Data!$B$4:$K$4,0))</f>
        <v>22.275539999999999</v>
      </c>
      <c r="W26" s="113">
        <f>INDEX(Data!$B$4:$K$6,MATCH(Data!$B$5,Data!$B$4:$B$6,0),MATCH($D26,Data!$B$4:$K$4,0))</f>
        <v>22.275539999999999</v>
      </c>
      <c r="X26" s="113">
        <f>INDEX(Data!$B$4:$K$6,MATCH(Data!$B$5,Data!$B$4:$B$6,0),MATCH($D26,Data!$B$4:$K$4,0))</f>
        <v>22.275539999999999</v>
      </c>
      <c r="Y26" s="113">
        <f>INDEX(Data!$B$4:$K$6,MATCH(Data!$B$5,Data!$B$4:$B$6,0),MATCH($D26,Data!$B$4:$K$4,0))</f>
        <v>22.275539999999999</v>
      </c>
      <c r="Z26" s="113">
        <f>INDEX(Data!$B$4:$K$6,MATCH(Data!$B$5,Data!$B$4:$B$6,0),MATCH($D26,Data!$B$4:$K$4,0))</f>
        <v>22.275539999999999</v>
      </c>
      <c r="AA26" s="113">
        <f>INDEX(Data!$B$4:$K$6,MATCH(Data!$B$5,Data!$B$4:$B$6,0),MATCH($D26,Data!$B$4:$K$4,0))</f>
        <v>22.275539999999999</v>
      </c>
      <c r="AB26" s="113">
        <f>INDEX(Data!$B$4:$K$6,MATCH(Data!$B$5,Data!$B$4:$B$6,0),MATCH($D26,Data!$B$4:$K$4,0))</f>
        <v>22.275539999999999</v>
      </c>
      <c r="AC26" s="113">
        <f>INDEX(Data!$B$4:$K$6,MATCH(Data!$B$5,Data!$B$4:$B$6,0),MATCH($D26,Data!$B$4:$K$4,0))</f>
        <v>22.275539999999999</v>
      </c>
      <c r="AD26" s="113">
        <f>INDEX(Data!$B$4:$K$6,MATCH(Data!$B$5,Data!$B$4:$B$6,0),MATCH($D26,Data!$B$4:$K$4,0))</f>
        <v>22.275539999999999</v>
      </c>
    </row>
    <row r="27" spans="2:30" x14ac:dyDescent="0.35">
      <c r="B27" s="81"/>
      <c r="C27" s="15" t="s">
        <v>148</v>
      </c>
      <c r="D27" s="35"/>
      <c r="E27" s="22" t="s">
        <v>115</v>
      </c>
      <c r="F27" s="18" t="s">
        <v>116</v>
      </c>
      <c r="G27" s="18" t="s">
        <v>117</v>
      </c>
      <c r="H27" s="29">
        <f>H26/1000</f>
        <v>2.227554E-2</v>
      </c>
      <c r="I27" s="29">
        <f t="shared" ref="I27:AD27" si="3">I26/1000</f>
        <v>2.227554E-2</v>
      </c>
      <c r="J27" s="29">
        <f t="shared" si="3"/>
        <v>2.227554E-2</v>
      </c>
      <c r="K27" s="29">
        <f t="shared" si="3"/>
        <v>2.227554E-2</v>
      </c>
      <c r="L27" s="29">
        <f t="shared" si="3"/>
        <v>2.227554E-2</v>
      </c>
      <c r="M27" s="29">
        <f t="shared" si="3"/>
        <v>2.227554E-2</v>
      </c>
      <c r="N27" s="29">
        <f t="shared" si="3"/>
        <v>2.227554E-2</v>
      </c>
      <c r="O27" s="29">
        <f t="shared" si="3"/>
        <v>2.227554E-2</v>
      </c>
      <c r="P27" s="29">
        <f t="shared" si="3"/>
        <v>2.227554E-2</v>
      </c>
      <c r="Q27" s="29">
        <f t="shared" si="3"/>
        <v>2.227554E-2</v>
      </c>
      <c r="R27" s="29">
        <f t="shared" si="3"/>
        <v>2.227554E-2</v>
      </c>
      <c r="S27" s="29">
        <f t="shared" si="3"/>
        <v>2.227554E-2</v>
      </c>
      <c r="T27" s="29">
        <f t="shared" si="3"/>
        <v>2.227554E-2</v>
      </c>
      <c r="U27" s="29">
        <f t="shared" si="3"/>
        <v>2.227554E-2</v>
      </c>
      <c r="V27" s="29">
        <f t="shared" si="3"/>
        <v>2.227554E-2</v>
      </c>
      <c r="W27" s="29">
        <f t="shared" si="3"/>
        <v>2.227554E-2</v>
      </c>
      <c r="X27" s="29">
        <f t="shared" si="3"/>
        <v>2.227554E-2</v>
      </c>
      <c r="Y27" s="29">
        <f t="shared" si="3"/>
        <v>2.227554E-2</v>
      </c>
      <c r="Z27" s="29">
        <f t="shared" si="3"/>
        <v>2.227554E-2</v>
      </c>
      <c r="AA27" s="29">
        <f t="shared" si="3"/>
        <v>2.227554E-2</v>
      </c>
      <c r="AB27" s="29">
        <f t="shared" si="3"/>
        <v>2.227554E-2</v>
      </c>
      <c r="AC27" s="29">
        <f t="shared" si="3"/>
        <v>2.227554E-2</v>
      </c>
      <c r="AD27" s="29">
        <f t="shared" si="3"/>
        <v>2.227554E-2</v>
      </c>
    </row>
    <row r="28" spans="2:30" x14ac:dyDescent="0.35">
      <c r="B28" s="81"/>
      <c r="C28" s="15" t="s">
        <v>149</v>
      </c>
      <c r="D28" s="35"/>
      <c r="E28" s="22"/>
      <c r="F28" s="18" t="s">
        <v>150</v>
      </c>
      <c r="G28" s="18" t="s">
        <v>137</v>
      </c>
      <c r="H28" s="29">
        <f>MAX((H26-H$4),0)*Data!$E$6</f>
        <v>0</v>
      </c>
      <c r="I28" s="29">
        <f>MAX((I26-I$4),0)*Data!$E$6</f>
        <v>0</v>
      </c>
      <c r="J28" s="29">
        <f>MAX((J26-J$4),0)*Data!$E$6</f>
        <v>0</v>
      </c>
      <c r="K28" s="29">
        <f>MAX((K26-K$4),0)*Data!$E$6</f>
        <v>0</v>
      </c>
      <c r="L28" s="29">
        <f>MAX((L26-L$4),0)*Data!$E$6</f>
        <v>0</v>
      </c>
      <c r="M28" s="29">
        <f>MAX((M26-M$4),0)*Data!$E$6</f>
        <v>0</v>
      </c>
      <c r="N28" s="29">
        <f>MAX((N26-N$4),0)*Data!$E$6</f>
        <v>0</v>
      </c>
      <c r="O28" s="29">
        <f>MAX((O26-O$4),0)*Data!$E$6</f>
        <v>0</v>
      </c>
      <c r="P28" s="29">
        <f>MAX((P26-P$4),0)*Data!$E$6</f>
        <v>0</v>
      </c>
      <c r="Q28" s="29">
        <f>MAX((Q26-Q$4),0)*Data!$E$6</f>
        <v>0</v>
      </c>
      <c r="R28" s="29">
        <f>MAX((R26-R$4),0)*Data!$E$6</f>
        <v>0</v>
      </c>
      <c r="S28" s="29">
        <f>MAX((S26-S$4),0)*Data!$E$6</f>
        <v>0</v>
      </c>
      <c r="T28" s="29">
        <f>MAX((T26-T$4),0)*Data!$E$6</f>
        <v>0</v>
      </c>
      <c r="U28" s="29">
        <f>MAX((U26-U$4),0)*Data!$E$6</f>
        <v>0</v>
      </c>
      <c r="V28" s="29">
        <f>MAX((V26-V$4),0)*Data!$E$6</f>
        <v>0</v>
      </c>
      <c r="W28" s="29">
        <f>MAX((W26-W$4),0)*Data!$E$6</f>
        <v>0</v>
      </c>
      <c r="X28" s="29">
        <f>MAX((X26-X$4),0)*Data!$E$6</f>
        <v>3.2824908000011706E-2</v>
      </c>
      <c r="Y28" s="29">
        <f>MAX((Y26-Y$4),0)*Data!$E$6</f>
        <v>0.14534470799998941</v>
      </c>
      <c r="Z28" s="29">
        <f>MAX((Z26-Z$4),0)*Data!$E$6</f>
        <v>0.25786450799999361</v>
      </c>
      <c r="AA28" s="29">
        <f>MAX((AA26-AA$4),0)*Data!$E$6</f>
        <v>0.37038430799999783</v>
      </c>
      <c r="AB28" s="29">
        <f>MAX((AB26-AB$4),0)*Data!$E$6</f>
        <v>0.48290410800000211</v>
      </c>
      <c r="AC28" s="29">
        <f>MAX((AC26-AC$4),0)*Data!$E$6</f>
        <v>0.59542390800000633</v>
      </c>
      <c r="AD28" s="29">
        <f>MAX((AD26-AD$4),0)*Data!$E$6</f>
        <v>0.70794370800001061</v>
      </c>
    </row>
    <row r="29" spans="2:30" x14ac:dyDescent="0.35">
      <c r="B29" s="81"/>
      <c r="C29" s="37" t="s">
        <v>151</v>
      </c>
      <c r="D29" s="106" t="str">
        <f>'CCC Summary'!$C$29</f>
        <v>LR/UMAS B100 - Avg Price</v>
      </c>
      <c r="E29" s="84" t="s">
        <v>107</v>
      </c>
      <c r="F29" s="25" t="str">
        <f>IF('CCC Summary'!$C$25="Yes",'CCC Summary'!$D$25,"")</f>
        <v/>
      </c>
      <c r="G29" s="25" t="s">
        <v>126</v>
      </c>
      <c r="H29" s="114">
        <f>IF($D$29="Enter fixed price",'CCC Summary'!$C$30/(Data!$E$6*1000),INDEX(Data!$B$26:$AA$35,MATCH($D$29,Data!$B$26:$B$35,0),MATCH(H$3,Data!$B$26:$AA$26,0)))</f>
        <v>33.900000000000006</v>
      </c>
      <c r="I29" s="114">
        <f>IF($D$29="Enter fixed price",'CCC Summary'!$C$30/(Data!$E$6*1000),INDEX(Data!$B$26:$AA$35,MATCH($D$29,Data!$B$26:$B$35,0),MATCH(I$3,Data!$B$26:$AA$26,0)))</f>
        <v>35.199999999999996</v>
      </c>
      <c r="J29" s="114">
        <f>IF($D$29="Enter fixed price",'CCC Summary'!$C$30/(Data!$E$6*1000),INDEX(Data!$B$26:$AA$35,MATCH($D$29,Data!$B$26:$B$35,0),MATCH(J$3,Data!$B$26:$AA$26,0)))</f>
        <v>36.5</v>
      </c>
      <c r="K29" s="114">
        <f>IF($D$29="Enter fixed price",'CCC Summary'!$C$30/(Data!$E$6*1000),INDEX(Data!$B$26:$AA$35,MATCH($D$29,Data!$B$26:$B$35,0),MATCH(K$3,Data!$B$26:$AA$26,0)))</f>
        <v>37.9</v>
      </c>
      <c r="L29" s="114">
        <f>IF($D$29="Enter fixed price",'CCC Summary'!$C$30/(Data!$E$6*1000),INDEX(Data!$B$26:$AA$35,MATCH($D$29,Data!$B$26:$B$35,0),MATCH(L$3,Data!$B$26:$AA$26,0)))</f>
        <v>39.299999999999997</v>
      </c>
      <c r="M29" s="114">
        <f>IF($D$29="Enter fixed price",'CCC Summary'!$C$30/(Data!$E$6*1000),INDEX(Data!$B$26:$AA$35,MATCH($D$29,Data!$B$26:$B$35,0),MATCH(M$3,Data!$B$26:$AA$26,0)))</f>
        <v>40.700000000000003</v>
      </c>
      <c r="N29" s="114">
        <f>IF($D$29="Enter fixed price",'CCC Summary'!$C$30/(Data!$E$6*1000),INDEX(Data!$B$26:$AA$35,MATCH($D$29,Data!$B$26:$B$35,0),MATCH(N$3,Data!$B$26:$AA$26,0)))</f>
        <v>42.1</v>
      </c>
      <c r="O29" s="114">
        <f>IF($D$29="Enter fixed price",'CCC Summary'!$C$30/(Data!$E$6*1000),INDEX(Data!$B$26:$AA$35,MATCH($D$29,Data!$B$26:$B$35,0),MATCH(O$3,Data!$B$26:$AA$26,0)))</f>
        <v>43.5</v>
      </c>
      <c r="P29" s="114">
        <f>IF($D$29="Enter fixed price",'CCC Summary'!$C$30/(Data!$E$6*1000),INDEX(Data!$B$26:$AA$35,MATCH($D$29,Data!$B$26:$B$35,0),MATCH(P$3,Data!$B$26:$AA$26,0)))</f>
        <v>44.9</v>
      </c>
      <c r="Q29" s="114">
        <f>IF($D$29="Enter fixed price",'CCC Summary'!$C$30/(Data!$E$6*1000),INDEX(Data!$B$26:$AA$35,MATCH($D$29,Data!$B$26:$B$35,0),MATCH(Q$3,Data!$B$26:$AA$26,0)))</f>
        <v>46.3</v>
      </c>
      <c r="R29" s="114">
        <f>IF($D$29="Enter fixed price",'CCC Summary'!$C$30/(Data!$E$6*1000),INDEX(Data!$B$26:$AA$35,MATCH($D$29,Data!$B$26:$B$35,0),MATCH(R$3,Data!$B$26:$AA$26,0)))</f>
        <v>47.7</v>
      </c>
      <c r="S29" s="114">
        <f>IF($D$29="Enter fixed price",'CCC Summary'!$C$30/(Data!$E$6*1000),INDEX(Data!$B$26:$AA$35,MATCH($D$29,Data!$B$26:$B$35,0),MATCH(S$3,Data!$B$26:$AA$26,0)))</f>
        <v>49.1</v>
      </c>
      <c r="T29" s="114">
        <f>IF($D$29="Enter fixed price",'CCC Summary'!$C$30/(Data!$E$6*1000),INDEX(Data!$B$26:$AA$35,MATCH($D$29,Data!$B$26:$B$35,0),MATCH(T$3,Data!$B$26:$AA$26,0)))</f>
        <v>50.5</v>
      </c>
      <c r="U29" s="114">
        <f>IF($D$29="Enter fixed price",'CCC Summary'!$C$30/(Data!$E$6*1000),INDEX(Data!$B$26:$AA$35,MATCH($D$29,Data!$B$26:$B$35,0),MATCH(U$3,Data!$B$26:$AA$26,0)))</f>
        <v>51.800000000000004</v>
      </c>
      <c r="V29" s="114">
        <f>IF($D$29="Enter fixed price",'CCC Summary'!$C$30/(Data!$E$6*1000),INDEX(Data!$B$26:$AA$35,MATCH($D$29,Data!$B$26:$B$35,0),MATCH(V$3,Data!$B$26:$AA$26,0)))</f>
        <v>53.099999999999994</v>
      </c>
      <c r="W29" s="114">
        <f>IF($D$29="Enter fixed price",'CCC Summary'!$C$30/(Data!$E$6*1000),INDEX(Data!$B$26:$AA$35,MATCH($D$29,Data!$B$26:$B$35,0),MATCH(W$3,Data!$B$26:$AA$26,0)))</f>
        <v>54.400000000000006</v>
      </c>
      <c r="X29" s="114">
        <f>IF($D$29="Enter fixed price",'CCC Summary'!$C$30/(Data!$E$6*1000),INDEX(Data!$B$26:$AA$35,MATCH($D$29,Data!$B$26:$B$35,0),MATCH(X$3,Data!$B$26:$AA$26,0)))</f>
        <v>55.699999999999996</v>
      </c>
      <c r="Y29" s="114">
        <f>IF($D$29="Enter fixed price",'CCC Summary'!$C$30/(Data!$E$6*1000),INDEX(Data!$B$26:$AA$35,MATCH($D$29,Data!$B$26:$B$35,0),MATCH(Y$3,Data!$B$26:$AA$26,0)))</f>
        <v>57</v>
      </c>
      <c r="Z29" s="114">
        <f>IF($D$29="Enter fixed price",'CCC Summary'!$C$30/(Data!$E$6*1000),INDEX(Data!$B$26:$AA$35,MATCH($D$29,Data!$B$26:$B$35,0),MATCH(Z$3,Data!$B$26:$AA$26,0)))</f>
        <v>58.300000000000004</v>
      </c>
      <c r="AA29" s="114">
        <f>IF($D$29="Enter fixed price",'CCC Summary'!$C$30/(Data!$E$6*1000),INDEX(Data!$B$26:$AA$35,MATCH($D$29,Data!$B$26:$B$35,0),MATCH(AA$3,Data!$B$26:$AA$26,0)))</f>
        <v>59.599999999999994</v>
      </c>
      <c r="AB29" s="114">
        <f>IF($D$29="Enter fixed price",'CCC Summary'!$C$30/(Data!$E$6*1000),INDEX(Data!$B$26:$AA$35,MATCH($D$29,Data!$B$26:$B$35,0),MATCH(AB$3,Data!$B$26:$AA$26,0)))</f>
        <v>60.900000000000006</v>
      </c>
      <c r="AC29" s="114">
        <f>IF($D$29="Enter fixed price",'CCC Summary'!$C$30/(Data!$E$6*1000),INDEX(Data!$B$26:$AA$35,MATCH($D$29,Data!$B$26:$B$35,0),MATCH(AC$3,Data!$B$26:$AA$26,0)))</f>
        <v>62.199999999999996</v>
      </c>
      <c r="AD29" s="114">
        <f>IF($D$29="Enter fixed price",'CCC Summary'!$C$30/(Data!$E$6*1000),INDEX(Data!$B$26:$AA$35,MATCH($D$29,Data!$B$26:$B$35,0),MATCH(AD$3,Data!$B$26:$AA$26,0)))</f>
        <v>63.5</v>
      </c>
    </row>
    <row r="30" spans="2:30" x14ac:dyDescent="0.35">
      <c r="B30" s="81" t="s">
        <v>152</v>
      </c>
      <c r="C30" s="15" t="s">
        <v>153</v>
      </c>
      <c r="D30" s="109" t="str">
        <f>"Bio-methane "&amp;IF(D18="Otto dual fuel (LP)","(LP)","(HP)")</f>
        <v>Bio-methane (HP)</v>
      </c>
      <c r="E30" s="22" t="s">
        <v>107</v>
      </c>
      <c r="F30" s="39"/>
      <c r="G30" s="18" t="s">
        <v>104</v>
      </c>
      <c r="H30" s="113">
        <f>INDEX(Data!$B$4:$K$6,MATCH(Data!$B$5,Data!$B$4:$B$6,0),MATCH($D30,Data!$B$4:$K$4,0))</f>
        <v>20.619759999999999</v>
      </c>
      <c r="I30" s="113">
        <f>INDEX(Data!$B$4:$K$6,MATCH(Data!$B$5,Data!$B$4:$B$6,0),MATCH($D30,Data!$B$4:$K$4,0))</f>
        <v>20.619759999999999</v>
      </c>
      <c r="J30" s="113">
        <f>INDEX(Data!$B$4:$K$6,MATCH(Data!$B$5,Data!$B$4:$B$6,0),MATCH($D30,Data!$B$4:$K$4,0))</f>
        <v>20.619759999999999</v>
      </c>
      <c r="K30" s="113">
        <f>INDEX(Data!$B$4:$K$6,MATCH(Data!$B$5,Data!$B$4:$B$6,0),MATCH($D30,Data!$B$4:$K$4,0))</f>
        <v>20.619759999999999</v>
      </c>
      <c r="L30" s="113">
        <f>INDEX(Data!$B$4:$K$6,MATCH(Data!$B$5,Data!$B$4:$B$6,0),MATCH($D30,Data!$B$4:$K$4,0))</f>
        <v>20.619759999999999</v>
      </c>
      <c r="M30" s="113">
        <f>INDEX(Data!$B$4:$K$6,MATCH(Data!$B$5,Data!$B$4:$B$6,0),MATCH($D30,Data!$B$4:$K$4,0))</f>
        <v>20.619759999999999</v>
      </c>
      <c r="N30" s="113">
        <f>INDEX(Data!$B$4:$K$6,MATCH(Data!$B$5,Data!$B$4:$B$6,0),MATCH($D30,Data!$B$4:$K$4,0))</f>
        <v>20.619759999999999</v>
      </c>
      <c r="O30" s="113">
        <f>INDEX(Data!$B$4:$K$6,MATCH(Data!$B$5,Data!$B$4:$B$6,0),MATCH($D30,Data!$B$4:$K$4,0))</f>
        <v>20.619759999999999</v>
      </c>
      <c r="P30" s="113">
        <f>INDEX(Data!$B$4:$K$6,MATCH(Data!$B$5,Data!$B$4:$B$6,0),MATCH($D30,Data!$B$4:$K$4,0))</f>
        <v>20.619759999999999</v>
      </c>
      <c r="Q30" s="113">
        <f>INDEX(Data!$B$4:$K$6,MATCH(Data!$B$5,Data!$B$4:$B$6,0),MATCH($D30,Data!$B$4:$K$4,0))</f>
        <v>20.619759999999999</v>
      </c>
      <c r="R30" s="113">
        <f>INDEX(Data!$B$4:$K$6,MATCH(Data!$B$5,Data!$B$4:$B$6,0),MATCH($D30,Data!$B$4:$K$4,0))</f>
        <v>20.619759999999999</v>
      </c>
      <c r="S30" s="113">
        <f>INDEX(Data!$B$4:$K$6,MATCH(Data!$B$5,Data!$B$4:$B$6,0),MATCH($D30,Data!$B$4:$K$4,0))</f>
        <v>20.619759999999999</v>
      </c>
      <c r="T30" s="113">
        <f>INDEX(Data!$B$4:$K$6,MATCH(Data!$B$5,Data!$B$4:$B$6,0),MATCH($D30,Data!$B$4:$K$4,0))</f>
        <v>20.619759999999999</v>
      </c>
      <c r="U30" s="113">
        <f>INDEX(Data!$B$4:$K$6,MATCH(Data!$B$5,Data!$B$4:$B$6,0),MATCH($D30,Data!$B$4:$K$4,0))</f>
        <v>20.619759999999999</v>
      </c>
      <c r="V30" s="113">
        <f>INDEX(Data!$B$4:$K$6,MATCH(Data!$B$5,Data!$B$4:$B$6,0),MATCH($D30,Data!$B$4:$K$4,0))</f>
        <v>20.619759999999999</v>
      </c>
      <c r="W30" s="113">
        <f>INDEX(Data!$B$4:$K$6,MATCH(Data!$B$5,Data!$B$4:$B$6,0),MATCH($D30,Data!$B$4:$K$4,0))</f>
        <v>20.619759999999999</v>
      </c>
      <c r="X30" s="113">
        <f>INDEX(Data!$B$4:$K$6,MATCH(Data!$B$5,Data!$B$4:$B$6,0),MATCH($D30,Data!$B$4:$K$4,0))</f>
        <v>20.619759999999999</v>
      </c>
      <c r="Y30" s="113">
        <f>INDEX(Data!$B$4:$K$6,MATCH(Data!$B$5,Data!$B$4:$B$6,0),MATCH($D30,Data!$B$4:$K$4,0))</f>
        <v>20.619759999999999</v>
      </c>
      <c r="Z30" s="113">
        <f>INDEX(Data!$B$4:$K$6,MATCH(Data!$B$5,Data!$B$4:$B$6,0),MATCH($D30,Data!$B$4:$K$4,0))</f>
        <v>20.619759999999999</v>
      </c>
      <c r="AA30" s="113">
        <f>INDEX(Data!$B$4:$K$6,MATCH(Data!$B$5,Data!$B$4:$B$6,0),MATCH($D30,Data!$B$4:$K$4,0))</f>
        <v>20.619759999999999</v>
      </c>
      <c r="AB30" s="113">
        <f>INDEX(Data!$B$4:$K$6,MATCH(Data!$B$5,Data!$B$4:$B$6,0),MATCH($D30,Data!$B$4:$K$4,0))</f>
        <v>20.619759999999999</v>
      </c>
      <c r="AC30" s="113">
        <f>INDEX(Data!$B$4:$K$6,MATCH(Data!$B$5,Data!$B$4:$B$6,0),MATCH($D30,Data!$B$4:$K$4,0))</f>
        <v>20.619759999999999</v>
      </c>
      <c r="AD30" s="113">
        <f>INDEX(Data!$B$4:$K$6,MATCH(Data!$B$5,Data!$B$4:$B$6,0),MATCH($D30,Data!$B$4:$K$4,0))</f>
        <v>20.619759999999999</v>
      </c>
    </row>
    <row r="31" spans="2:30" x14ac:dyDescent="0.35">
      <c r="B31" s="81"/>
      <c r="C31" s="15" t="s">
        <v>154</v>
      </c>
      <c r="D31" s="35"/>
      <c r="E31" s="22" t="s">
        <v>115</v>
      </c>
      <c r="F31" s="18" t="s">
        <v>116</v>
      </c>
      <c r="G31" s="18" t="s">
        <v>117</v>
      </c>
      <c r="H31" s="29">
        <f>H30/1000</f>
        <v>2.0619760000000001E-2</v>
      </c>
      <c r="I31" s="29">
        <f t="shared" ref="I31:AD31" si="4">I30/1000</f>
        <v>2.0619760000000001E-2</v>
      </c>
      <c r="J31" s="29">
        <f t="shared" si="4"/>
        <v>2.0619760000000001E-2</v>
      </c>
      <c r="K31" s="29">
        <f t="shared" si="4"/>
        <v>2.0619760000000001E-2</v>
      </c>
      <c r="L31" s="29">
        <f t="shared" si="4"/>
        <v>2.0619760000000001E-2</v>
      </c>
      <c r="M31" s="29">
        <f t="shared" si="4"/>
        <v>2.0619760000000001E-2</v>
      </c>
      <c r="N31" s="29">
        <f t="shared" si="4"/>
        <v>2.0619760000000001E-2</v>
      </c>
      <c r="O31" s="29">
        <f t="shared" si="4"/>
        <v>2.0619760000000001E-2</v>
      </c>
      <c r="P31" s="29">
        <f t="shared" si="4"/>
        <v>2.0619760000000001E-2</v>
      </c>
      <c r="Q31" s="29">
        <f t="shared" si="4"/>
        <v>2.0619760000000001E-2</v>
      </c>
      <c r="R31" s="29">
        <f t="shared" si="4"/>
        <v>2.0619760000000001E-2</v>
      </c>
      <c r="S31" s="29">
        <f t="shared" si="4"/>
        <v>2.0619760000000001E-2</v>
      </c>
      <c r="T31" s="29">
        <f t="shared" si="4"/>
        <v>2.0619760000000001E-2</v>
      </c>
      <c r="U31" s="29">
        <f t="shared" si="4"/>
        <v>2.0619760000000001E-2</v>
      </c>
      <c r="V31" s="29">
        <f t="shared" si="4"/>
        <v>2.0619760000000001E-2</v>
      </c>
      <c r="W31" s="29">
        <f t="shared" si="4"/>
        <v>2.0619760000000001E-2</v>
      </c>
      <c r="X31" s="29">
        <f t="shared" si="4"/>
        <v>2.0619760000000001E-2</v>
      </c>
      <c r="Y31" s="29">
        <f t="shared" si="4"/>
        <v>2.0619760000000001E-2</v>
      </c>
      <c r="Z31" s="29">
        <f t="shared" si="4"/>
        <v>2.0619760000000001E-2</v>
      </c>
      <c r="AA31" s="29">
        <f t="shared" si="4"/>
        <v>2.0619760000000001E-2</v>
      </c>
      <c r="AB31" s="29">
        <f t="shared" si="4"/>
        <v>2.0619760000000001E-2</v>
      </c>
      <c r="AC31" s="29">
        <f t="shared" si="4"/>
        <v>2.0619760000000001E-2</v>
      </c>
      <c r="AD31" s="29">
        <f t="shared" si="4"/>
        <v>2.0619760000000001E-2</v>
      </c>
    </row>
    <row r="32" spans="2:30" x14ac:dyDescent="0.35">
      <c r="B32" s="81"/>
      <c r="C32" s="15" t="s">
        <v>155</v>
      </c>
      <c r="D32" s="35"/>
      <c r="E32" s="22"/>
      <c r="F32" s="18" t="s">
        <v>156</v>
      </c>
      <c r="G32" s="18" t="s">
        <v>137</v>
      </c>
      <c r="H32" s="29">
        <f>MAX((H30-H$4),0)*Data!$E$6</f>
        <v>0</v>
      </c>
      <c r="I32" s="29">
        <f>MAX((I30-I$4),0)*Data!$E$6</f>
        <v>0</v>
      </c>
      <c r="J32" s="29">
        <f>MAX((J30-J$4),0)*Data!$E$6</f>
        <v>0</v>
      </c>
      <c r="K32" s="29">
        <f>MAX((K30-K$4),0)*Data!$E$6</f>
        <v>0</v>
      </c>
      <c r="L32" s="29">
        <f>MAX((L30-L$4),0)*Data!$E$6</f>
        <v>0</v>
      </c>
      <c r="M32" s="29">
        <f>MAX((M30-M$4),0)*Data!$E$6</f>
        <v>0</v>
      </c>
      <c r="N32" s="29">
        <f>MAX((N30-N$4),0)*Data!$E$6</f>
        <v>0</v>
      </c>
      <c r="O32" s="29">
        <f>MAX((O30-O$4),0)*Data!$E$6</f>
        <v>0</v>
      </c>
      <c r="P32" s="29">
        <f>MAX((P30-P$4),0)*Data!$E$6</f>
        <v>0</v>
      </c>
      <c r="Q32" s="29">
        <f>MAX((Q30-Q$4),0)*Data!$E$6</f>
        <v>0</v>
      </c>
      <c r="R32" s="29">
        <f>MAX((R30-R$4),0)*Data!$E$6</f>
        <v>0</v>
      </c>
      <c r="S32" s="29">
        <f>MAX((S30-S$4),0)*Data!$E$6</f>
        <v>0</v>
      </c>
      <c r="T32" s="29">
        <f>MAX((T30-T$4),0)*Data!$E$6</f>
        <v>0</v>
      </c>
      <c r="U32" s="29">
        <f>MAX((U30-U$4),0)*Data!$E$6</f>
        <v>0</v>
      </c>
      <c r="V32" s="29">
        <f>MAX((V30-V$4),0)*Data!$E$6</f>
        <v>0</v>
      </c>
      <c r="W32" s="29">
        <f>MAX((W30-W$4),0)*Data!$E$6</f>
        <v>0</v>
      </c>
      <c r="X32" s="29">
        <f>MAX((X30-X$4),0)*Data!$E$6</f>
        <v>0</v>
      </c>
      <c r="Y32" s="29">
        <f>MAX((Y30-Y$4),0)*Data!$E$6</f>
        <v>7.8782351999989397E-2</v>
      </c>
      <c r="Z32" s="29">
        <f>MAX((Z30-Z$4),0)*Data!$E$6</f>
        <v>0.19130215199999359</v>
      </c>
      <c r="AA32" s="29">
        <f>MAX((AA30-AA$4),0)*Data!$E$6</f>
        <v>0.30382195199999784</v>
      </c>
      <c r="AB32" s="29">
        <f>MAX((AB30-AB$4),0)*Data!$E$6</f>
        <v>0.41634175200000212</v>
      </c>
      <c r="AC32" s="29">
        <f>MAX((AC30-AC$4),0)*Data!$E$6</f>
        <v>0.5288615520000064</v>
      </c>
      <c r="AD32" s="29">
        <f>MAX((AD30-AD$4),0)*Data!$E$6</f>
        <v>0.64138135200001067</v>
      </c>
    </row>
    <row r="33" spans="2:30" x14ac:dyDescent="0.35">
      <c r="B33" s="81"/>
      <c r="C33" s="37" t="s">
        <v>157</v>
      </c>
      <c r="D33" s="106" t="str">
        <f>'CCC Summary'!$C$39</f>
        <v>MMM Bio-methane Cost</v>
      </c>
      <c r="E33" s="84" t="s">
        <v>107</v>
      </c>
      <c r="F33" s="25" t="str">
        <f>IF('CCC Summary'!$C$25="Yes",'CCC Summary'!$D$25,"")</f>
        <v/>
      </c>
      <c r="G33" s="25" t="s">
        <v>126</v>
      </c>
      <c r="H33" s="114">
        <f>IF($D$33="Enter fixed price",'CCC Summary'!$C$40/(Data!$E$6*1000),INDEX(Data!$B$26:$AA$35,MATCH($D$33,Data!$B$26:$B$35,0),MATCH(H$3,Data!$B$26:$AA$26,0)))</f>
        <v>37.733100403066011</v>
      </c>
      <c r="I33" s="114">
        <f>IF($D$33="Enter fixed price",'CCC Summary'!$C$40/(Data!$E$6*1000),INDEX(Data!$B$26:$AA$35,MATCH($D$33,Data!$B$26:$B$35,0),MATCH(I$3,Data!$B$26:$AA$26,0)))</f>
        <v>38.342146911849333</v>
      </c>
      <c r="J33" s="114">
        <f>IF($D$33="Enter fixed price",'CCC Summary'!$C$40/(Data!$E$6*1000),INDEX(Data!$B$26:$AA$35,MATCH($D$33,Data!$B$26:$B$35,0),MATCH(J$3,Data!$B$26:$AA$26,0)))</f>
        <v>38.940653333333337</v>
      </c>
      <c r="K33" s="114">
        <f>IF($D$33="Enter fixed price",'CCC Summary'!$C$40/(Data!$E$6*1000),INDEX(Data!$B$26:$AA$35,MATCH($D$33,Data!$B$26:$B$35,0),MATCH(K$3,Data!$B$26:$AA$26,0)))</f>
        <v>39.678942813058462</v>
      </c>
      <c r="L33" s="114">
        <f>IF($D$33="Enter fixed price",'CCC Summary'!$C$40/(Data!$E$6*1000),INDEX(Data!$B$26:$AA$35,MATCH($D$33,Data!$B$26:$B$35,0),MATCH(L$3,Data!$B$26:$AA$26,0)))</f>
        <v>40.406937977316012</v>
      </c>
      <c r="M33" s="114">
        <f>IF($D$33="Enter fixed price",'CCC Summary'!$C$40/(Data!$E$6*1000),INDEX(Data!$B$26:$AA$35,MATCH($D$33,Data!$B$26:$B$35,0),MATCH(M$3,Data!$B$26:$AA$26,0)))</f>
        <v>41.12659098936421</v>
      </c>
      <c r="N33" s="114">
        <f>IF($D$33="Enter fixed price",'CCC Summary'!$C$40/(Data!$E$6*1000),INDEX(Data!$B$26:$AA$35,MATCH($D$33,Data!$B$26:$B$35,0),MATCH(N$3,Data!$B$26:$AA$26,0)))</f>
        <v>41.833969319082563</v>
      </c>
      <c r="O33" s="114">
        <f>IF($D$33="Enter fixed price",'CCC Summary'!$C$40/(Data!$E$6*1000),INDEX(Data!$B$26:$AA$35,MATCH($D$33,Data!$B$26:$B$35,0),MATCH(O$3,Data!$B$26:$AA$26,0)))</f>
        <v>42.531053333333332</v>
      </c>
      <c r="P33" s="114">
        <f>IF($D$33="Enter fixed price",'CCC Summary'!$C$40/(Data!$E$6*1000),INDEX(Data!$B$26:$AA$35,MATCH($D$33,Data!$B$26:$B$35,0),MATCH(P$3,Data!$B$26:$AA$26,0)))</f>
        <v>43.412034814050593</v>
      </c>
      <c r="Q33" s="114">
        <f>IF($D$33="Enter fixed price",'CCC Summary'!$C$40/(Data!$E$6*1000),INDEX(Data!$B$26:$AA$35,MATCH($D$33,Data!$B$26:$B$35,0),MATCH(Q$3,Data!$B$26:$AA$26,0)))</f>
        <v>44.282938006995622</v>
      </c>
      <c r="R33" s="114">
        <f>IF($D$33="Enter fixed price",'CCC Summary'!$C$40/(Data!$E$6*1000),INDEX(Data!$B$26:$AA$35,MATCH($D$33,Data!$B$26:$B$35,0),MATCH(R$3,Data!$B$26:$AA$26,0)))</f>
        <v>45.139003878327202</v>
      </c>
      <c r="S33" s="114">
        <f>IF($D$33="Enter fixed price",'CCC Summary'!$C$40/(Data!$E$6*1000),INDEX(Data!$B$26:$AA$35,MATCH($D$33,Data!$B$26:$B$35,0),MATCH(S$3,Data!$B$26:$AA$26,0)))</f>
        <v>45.982628987106438</v>
      </c>
      <c r="T33" s="114">
        <f>IF($D$33="Enter fixed price",'CCC Summary'!$C$40/(Data!$E$6*1000),INDEX(Data!$B$26:$AA$35,MATCH($D$33,Data!$B$26:$B$35,0),MATCH(T$3,Data!$B$26:$AA$26,0)))</f>
        <v>46.813813333333343</v>
      </c>
      <c r="U33" s="114">
        <f>IF($D$33="Enter fixed price",'CCC Summary'!$C$40/(Data!$E$6*1000),INDEX(Data!$B$26:$AA$35,MATCH($D$33,Data!$B$26:$B$35,0),MATCH(U$3,Data!$B$26:$AA$26,0)))</f>
        <v>47.848447938395338</v>
      </c>
      <c r="V33" s="114">
        <f>IF($D$33="Enter fixed price",'CCC Summary'!$C$40/(Data!$E$6*1000),INDEX(Data!$B$26:$AA$35,MATCH($D$33,Data!$B$26:$B$35,0),MATCH(V$3,Data!$B$26:$AA$26,0)))</f>
        <v>48.865752394541651</v>
      </c>
      <c r="W33" s="114">
        <f>IF($D$33="Enter fixed price",'CCC Summary'!$C$40/(Data!$E$6*1000),INDEX(Data!$B$26:$AA$35,MATCH($D$33,Data!$B$26:$B$35,0),MATCH(W$3,Data!$B$26:$AA$26,0)))</f>
        <v>49.868573412604043</v>
      </c>
      <c r="X33" s="114">
        <f>IF($D$33="Enter fixed price",'CCC Summary'!$C$40/(Data!$E$6*1000),INDEX(Data!$B$26:$AA$35,MATCH($D$33,Data!$B$26:$B$35,0),MATCH(X$3,Data!$B$26:$AA$26,0)))</f>
        <v>50.856910992582527</v>
      </c>
      <c r="Y33" s="114">
        <f>IF($D$33="Enter fixed price",'CCC Summary'!$C$40/(Data!$E$6*1000),INDEX(Data!$B$26:$AA$35,MATCH($D$33,Data!$B$26:$B$35,0),MATCH(Y$3,Data!$B$26:$AA$26,0)))</f>
        <v>51.83341333333334</v>
      </c>
      <c r="Z33" s="114">
        <f>IF($D$33="Enter fixed price",'CCC Summary'!$C$40/(Data!$E$6*1000),INDEX(Data!$B$26:$AA$35,MATCH($D$33,Data!$B$26:$B$35,0),MATCH(Z$3,Data!$B$26:$AA$26,0)))</f>
        <v>53.064461879284543</v>
      </c>
      <c r="AA33" s="114">
        <f>IF($D$33="Enter fixed price",'CCC Summary'!$C$40/(Data!$E$6*1000),INDEX(Data!$B$26:$AA$35,MATCH($D$33,Data!$B$26:$B$35,0),MATCH(AA$3,Data!$B$26:$AA$26,0)))</f>
        <v>54.27838999249412</v>
      </c>
      <c r="AB33" s="114">
        <f>IF($D$33="Enter fixed price",'CCC Summary'!$C$40/(Data!$E$6*1000),INDEX(Data!$B$26:$AA$35,MATCH($D$33,Data!$B$26:$B$35,0),MATCH(AB$3,Data!$B$26:$AA$26,0)))</f>
        <v>55.475197672962103</v>
      </c>
      <c r="AC33" s="114">
        <f>IF($D$33="Enter fixed price",'CCC Summary'!$C$40/(Data!$E$6*1000),INDEX(Data!$B$26:$AA$35,MATCH($D$33,Data!$B$26:$B$35,0),MATCH(AC$3,Data!$B$26:$AA$26,0)))</f>
        <v>56.658093423643798</v>
      </c>
      <c r="AD33" s="114">
        <f>IF($D$33="Enter fixed price",'CCC Summary'!$C$40/(Data!$E$6*1000),INDEX(Data!$B$26:$AA$35,MATCH($D$33,Data!$B$26:$B$35,0),MATCH(AD$3,Data!$B$26:$AA$26,0)))</f>
        <v>57.820613333333341</v>
      </c>
    </row>
    <row r="34" spans="2:30" x14ac:dyDescent="0.35">
      <c r="B34" s="81" t="s">
        <v>35</v>
      </c>
      <c r="C34" s="15" t="s">
        <v>158</v>
      </c>
      <c r="D34" s="109" t="str">
        <f>'CCC Summary'!$C$44</f>
        <v>Enter my own</v>
      </c>
      <c r="E34" s="22" t="s">
        <v>107</v>
      </c>
      <c r="F34" s="39"/>
      <c r="G34" s="18" t="s">
        <v>104</v>
      </c>
      <c r="H34" s="113">
        <f>IF($D$34="Enter my own",'CCC Summary'!$C$45,IF(AND($D$34="Min ZNZ Threshold",H10&lt;2035),19,14))</f>
        <v>10</v>
      </c>
      <c r="I34" s="29">
        <f>IF($D$34="Enter my own",'CCC Summary'!$C$45,IF(AND($D$34="Min ZNZ Threshold",I10&lt;2035),19,14))</f>
        <v>10</v>
      </c>
      <c r="J34" s="29">
        <f>IF($D$34="Enter my own",'CCC Summary'!$C$45,IF(AND($D$34="Min ZNZ Threshold",J10&lt;2035),19,14))</f>
        <v>10</v>
      </c>
      <c r="K34" s="29">
        <f>IF($D$34="Enter my own",'CCC Summary'!$C$45,IF(AND($D$34="Min ZNZ Threshold",K10&lt;2035),19,14))</f>
        <v>10</v>
      </c>
      <c r="L34" s="29">
        <f>IF($D$34="Enter my own",'CCC Summary'!$C$45,IF(AND($D$34="Min ZNZ Threshold",L10&lt;2035),19,14))</f>
        <v>10</v>
      </c>
      <c r="M34" s="29">
        <f>IF($D$34="Enter my own",'CCC Summary'!$C$45,IF(AND($D$34="Min ZNZ Threshold",M10&lt;2035),19,14))</f>
        <v>10</v>
      </c>
      <c r="N34" s="29">
        <f>IF($D$34="Enter my own",'CCC Summary'!$C$45,IF(AND($D$34="Min ZNZ Threshold",N10&lt;2035),19,14))</f>
        <v>10</v>
      </c>
      <c r="O34" s="29">
        <f>IF($D$34="Enter my own",'CCC Summary'!$C$45,IF(AND($D$34="Min ZNZ Threshold",O10&lt;2035),19,14))</f>
        <v>10</v>
      </c>
      <c r="P34" s="29">
        <f>IF($D$34="Enter my own",'CCC Summary'!$C$45,IF(AND($D$34="Min ZNZ Threshold",P10&lt;2035),19,14))</f>
        <v>10</v>
      </c>
      <c r="Q34" s="29">
        <f>IF($D$34="Enter my own",'CCC Summary'!$C$45,IF(AND($D$34="Min ZNZ Threshold",Q10&lt;2035),19,14))</f>
        <v>10</v>
      </c>
      <c r="R34" s="29">
        <f>IF($D$34="Enter my own",'CCC Summary'!$C$45,IF(AND($D$34="Min ZNZ Threshold",R10&lt;2035),19,14))</f>
        <v>10</v>
      </c>
      <c r="S34" s="29">
        <f>IF($D$34="Enter my own",'CCC Summary'!$C$45,IF(AND($D$34="Min ZNZ Threshold",S10&lt;2035),19,14))</f>
        <v>10</v>
      </c>
      <c r="T34" s="29">
        <f>IF($D$34="Enter my own",'CCC Summary'!$C$45,IF(AND($D$34="Min ZNZ Threshold",T10&lt;2035),19,14))</f>
        <v>10</v>
      </c>
      <c r="U34" s="29">
        <f>IF($D$34="Enter my own",'CCC Summary'!$C$45,IF(AND($D$34="Min ZNZ Threshold",U10&lt;2035),19,14))</f>
        <v>10</v>
      </c>
      <c r="V34" s="29">
        <f>IF($D$34="Enter my own",'CCC Summary'!$C$45,IF(AND($D$34="Min ZNZ Threshold",V10&lt;2035),19,14))</f>
        <v>10</v>
      </c>
      <c r="W34" s="29">
        <f>IF($D$34="Enter my own",'CCC Summary'!$C$45,IF(AND($D$34="Min ZNZ Threshold",W10&lt;2035),19,14))</f>
        <v>10</v>
      </c>
      <c r="X34" s="29">
        <f>IF($D$34="Enter my own",'CCC Summary'!$C$45,IF(AND($D$34="Min ZNZ Threshold",X10&lt;2035),19,14))</f>
        <v>10</v>
      </c>
      <c r="Y34" s="29">
        <f>IF($D$34="Enter my own",'CCC Summary'!$C$45,IF(AND($D$34="Min ZNZ Threshold",Y10&lt;2035),19,14))</f>
        <v>10</v>
      </c>
      <c r="Z34" s="29">
        <f>IF($D$34="Enter my own",'CCC Summary'!$C$45,IF(AND($D$34="Min ZNZ Threshold",Z10&lt;2035),19,14))</f>
        <v>10</v>
      </c>
      <c r="AA34" s="29">
        <f>IF($D$34="Enter my own",'CCC Summary'!$C$45,IF(AND($D$34="Min ZNZ Threshold",AA10&lt;2035),19,14))</f>
        <v>10</v>
      </c>
      <c r="AB34" s="29">
        <f>IF($D$34="Enter my own",'CCC Summary'!$C$45,IF(AND($D$34="Min ZNZ Threshold",AB10&lt;2035),19,14))</f>
        <v>10</v>
      </c>
      <c r="AC34" s="29">
        <f>IF($D$34="Enter my own",'CCC Summary'!$C$45,IF(AND($D$34="Min ZNZ Threshold",AC10&lt;2035),19,14))</f>
        <v>10</v>
      </c>
      <c r="AD34" s="29">
        <f>IF($D$34="Enter my own",'CCC Summary'!$C$45,IF(AND($D$34="Min ZNZ Threshold",AD10&lt;2035),19,14))</f>
        <v>10</v>
      </c>
    </row>
    <row r="35" spans="2:30" x14ac:dyDescent="0.35">
      <c r="B35" s="81"/>
      <c r="C35" s="15" t="s">
        <v>159</v>
      </c>
      <c r="D35" s="35"/>
      <c r="E35" s="22" t="s">
        <v>115</v>
      </c>
      <c r="F35" s="18" t="s">
        <v>116</v>
      </c>
      <c r="G35" s="18" t="s">
        <v>117</v>
      </c>
      <c r="H35" s="29">
        <f t="shared" ref="H35:AD35" si="5">H34/1000</f>
        <v>0.01</v>
      </c>
      <c r="I35" s="29">
        <f t="shared" si="5"/>
        <v>0.01</v>
      </c>
      <c r="J35" s="29">
        <f t="shared" si="5"/>
        <v>0.01</v>
      </c>
      <c r="K35" s="29">
        <f t="shared" si="5"/>
        <v>0.01</v>
      </c>
      <c r="L35" s="29">
        <f t="shared" si="5"/>
        <v>0.01</v>
      </c>
      <c r="M35" s="29">
        <f t="shared" si="5"/>
        <v>0.01</v>
      </c>
      <c r="N35" s="29">
        <f t="shared" si="5"/>
        <v>0.01</v>
      </c>
      <c r="O35" s="29">
        <f t="shared" si="5"/>
        <v>0.01</v>
      </c>
      <c r="P35" s="29">
        <f t="shared" si="5"/>
        <v>0.01</v>
      </c>
      <c r="Q35" s="29">
        <f t="shared" si="5"/>
        <v>0.01</v>
      </c>
      <c r="R35" s="29">
        <f t="shared" si="5"/>
        <v>0.01</v>
      </c>
      <c r="S35" s="29">
        <f t="shared" si="5"/>
        <v>0.01</v>
      </c>
      <c r="T35" s="29">
        <f t="shared" si="5"/>
        <v>0.01</v>
      </c>
      <c r="U35" s="29">
        <f t="shared" si="5"/>
        <v>0.01</v>
      </c>
      <c r="V35" s="29">
        <f t="shared" si="5"/>
        <v>0.01</v>
      </c>
      <c r="W35" s="29">
        <f t="shared" si="5"/>
        <v>0.01</v>
      </c>
      <c r="X35" s="29">
        <f t="shared" si="5"/>
        <v>0.01</v>
      </c>
      <c r="Y35" s="29">
        <f t="shared" si="5"/>
        <v>0.01</v>
      </c>
      <c r="Z35" s="29">
        <f t="shared" si="5"/>
        <v>0.01</v>
      </c>
      <c r="AA35" s="29">
        <f t="shared" si="5"/>
        <v>0.01</v>
      </c>
      <c r="AB35" s="29">
        <f t="shared" si="5"/>
        <v>0.01</v>
      </c>
      <c r="AC35" s="29">
        <f t="shared" si="5"/>
        <v>0.01</v>
      </c>
      <c r="AD35" s="29">
        <f t="shared" si="5"/>
        <v>0.01</v>
      </c>
    </row>
    <row r="36" spans="2:30" x14ac:dyDescent="0.35">
      <c r="B36" s="81"/>
      <c r="C36" s="15" t="s">
        <v>160</v>
      </c>
      <c r="D36" s="35"/>
      <c r="E36" s="22"/>
      <c r="F36" s="18" t="s">
        <v>161</v>
      </c>
      <c r="G36" s="18" t="s">
        <v>137</v>
      </c>
      <c r="H36" s="29">
        <f>MAX((H34-H$4),0)*Data!$E$6</f>
        <v>0</v>
      </c>
      <c r="I36" s="29">
        <f>MAX((I34-I$4),0)*Data!$E$6</f>
        <v>0</v>
      </c>
      <c r="J36" s="29">
        <f>MAX((J34-J$4),0)*Data!$E$6</f>
        <v>0</v>
      </c>
      <c r="K36" s="29">
        <f>MAX((K34-K$4),0)*Data!$E$6</f>
        <v>0</v>
      </c>
      <c r="L36" s="29">
        <f>MAX((L34-L$4),0)*Data!$E$6</f>
        <v>0</v>
      </c>
      <c r="M36" s="29">
        <f>MAX((M34-M$4),0)*Data!$E$6</f>
        <v>0</v>
      </c>
      <c r="N36" s="29">
        <f>MAX((N34-N$4),0)*Data!$E$6</f>
        <v>0</v>
      </c>
      <c r="O36" s="29">
        <f>MAX((O34-O$4),0)*Data!$E$6</f>
        <v>0</v>
      </c>
      <c r="P36" s="29">
        <f>MAX((P34-P$4),0)*Data!$E$6</f>
        <v>0</v>
      </c>
      <c r="Q36" s="29">
        <f>MAX((Q34-Q$4),0)*Data!$E$6</f>
        <v>0</v>
      </c>
      <c r="R36" s="29">
        <f>MAX((R34-R$4),0)*Data!$E$6</f>
        <v>0</v>
      </c>
      <c r="S36" s="29">
        <f>MAX((S34-S$4),0)*Data!$E$6</f>
        <v>0</v>
      </c>
      <c r="T36" s="29">
        <f>MAX((T34-T$4),0)*Data!$E$6</f>
        <v>0</v>
      </c>
      <c r="U36" s="29">
        <f>MAX((U34-U$4),0)*Data!$E$6</f>
        <v>0</v>
      </c>
      <c r="V36" s="29">
        <f>MAX((V34-V$4),0)*Data!$E$6</f>
        <v>0</v>
      </c>
      <c r="W36" s="29">
        <f>MAX((W34-W$4),0)*Data!$E$6</f>
        <v>0</v>
      </c>
      <c r="X36" s="29">
        <f>MAX((X34-X$4),0)*Data!$E$6</f>
        <v>0</v>
      </c>
      <c r="Y36" s="29">
        <f>MAX((Y34-Y$4),0)*Data!$E$6</f>
        <v>0</v>
      </c>
      <c r="Z36" s="29">
        <f>MAX((Z34-Z$4),0)*Data!$E$6</f>
        <v>0</v>
      </c>
      <c r="AA36" s="29">
        <f>MAX((AA34-AA$4),0)*Data!$E$6</f>
        <v>0</v>
      </c>
      <c r="AB36" s="29">
        <f>MAX((AB34-AB$4),0)*Data!$E$6</f>
        <v>0</v>
      </c>
      <c r="AC36" s="29">
        <f>MAX((AC34-AC$4),0)*Data!$E$6</f>
        <v>0.10194720000000641</v>
      </c>
      <c r="AD36" s="29">
        <f>MAX((AD34-AD$4),0)*Data!$E$6</f>
        <v>0.21446700000001068</v>
      </c>
    </row>
    <row r="37" spans="2:30" x14ac:dyDescent="0.35">
      <c r="B37" s="81"/>
      <c r="C37" s="15" t="s">
        <v>162</v>
      </c>
      <c r="E37" s="22" t="s">
        <v>123</v>
      </c>
      <c r="F37" s="18" t="s">
        <v>163</v>
      </c>
      <c r="G37" s="18" t="s">
        <v>137</v>
      </c>
      <c r="H37" s="29">
        <f>MIN(MAX(0,(H$34-H$5)),(H$4-H$5))*Data!$E$6</f>
        <v>0</v>
      </c>
      <c r="I37" s="29">
        <f>MIN(MAX(0,(I$34-I$5)),(I$4-I$5))*Data!$E$6</f>
        <v>0</v>
      </c>
      <c r="J37" s="29">
        <f>MIN(MAX(0,(J$34-J$5)),(J$4-J$5))*Data!$E$6</f>
        <v>0</v>
      </c>
      <c r="K37" s="29">
        <f>MIN(MAX(0,(K$34-K$5)),(K$4-K$5))*Data!$E$6</f>
        <v>0</v>
      </c>
      <c r="L37" s="29">
        <f>MIN(MAX(0,(L$34-L$5)),(L$4-L$5))*Data!$E$6</f>
        <v>0</v>
      </c>
      <c r="M37" s="29">
        <f>MIN(MAX(0,(M$34-M$5)),(M$4-M$5))*Data!$E$6</f>
        <v>0</v>
      </c>
      <c r="N37" s="29">
        <f>MIN(MAX(0,(N$34-N$5)),(N$4-N$5))*Data!$E$6</f>
        <v>0</v>
      </c>
      <c r="O37" s="29">
        <f>MIN(MAX(0,(O$34-O$5)),(O$4-O$5))*Data!$E$6</f>
        <v>0</v>
      </c>
      <c r="P37" s="29">
        <f>MIN(MAX(0,(P$34-P$5)),(P$4-P$5))*Data!$E$6</f>
        <v>0</v>
      </c>
      <c r="Q37" s="29">
        <f>MIN(MAX(0,(Q$34-Q$5)),(Q$4-Q$5))*Data!$E$6</f>
        <v>0</v>
      </c>
      <c r="R37" s="29">
        <f>MIN(MAX(0,(R$34-R$5)),(R$4-R$5))*Data!$E$6</f>
        <v>0</v>
      </c>
      <c r="S37" s="29">
        <f>MIN(MAX(0,(S$34-S$5)),(S$4-S$5))*Data!$E$6</f>
        <v>0</v>
      </c>
      <c r="T37" s="29">
        <f>MIN(MAX(0,(T$34-T$5)),(T$4-T$5))*Data!$E$6</f>
        <v>0</v>
      </c>
      <c r="U37" s="29">
        <f>MIN(MAX(0,(U$34-U$5)),(U$4-U$5))*Data!$E$6</f>
        <v>0</v>
      </c>
      <c r="V37" s="29">
        <f>MIN(MAX(0,(V$34-V$5)),(V$4-V$5))*Data!$E$6</f>
        <v>0</v>
      </c>
      <c r="W37" s="29">
        <f>MIN(MAX(0,(W$34-W$5)),(W$4-W$5))*Data!$E$6</f>
        <v>0</v>
      </c>
      <c r="X37" s="29">
        <f>MIN(MAX(0,(X$34-X$5)),(X$4-X$5))*Data!$E$6</f>
        <v>2.6934000000011778E-2</v>
      </c>
      <c r="Y37" s="29">
        <f>MIN(MAX(0,(Y$34-Y$5)),(Y$4-Y$5))*Data!$E$6</f>
        <v>0.13945379999998936</v>
      </c>
      <c r="Z37" s="29">
        <f>MIN(MAX(0,(Z$34-Z$5)),(Z$4-Z$5))*Data!$E$6</f>
        <v>0.25197359999999358</v>
      </c>
      <c r="AA37" s="29">
        <f>MIN(MAX(0,(AA$34-AA$5)),(AA$4-AA$5))*Data!$E$6</f>
        <v>0.36449339999999786</v>
      </c>
      <c r="AB37" s="29">
        <f>MIN(MAX(0,(AB$34-AB$5)),(AB$4-AB$5))*Data!$E$6</f>
        <v>0.40200000000000002</v>
      </c>
      <c r="AC37" s="29">
        <f>MIN(MAX(0,(AC$34-AC$5)),(AC$4-AC$5))*Data!$E$6</f>
        <v>0.30005279999999357</v>
      </c>
      <c r="AD37" s="29">
        <f>MIN(MAX(0,(AD$34-AD$5)),(AD$4-AD$5))*Data!$E$6</f>
        <v>0.18753299999998932</v>
      </c>
    </row>
    <row r="38" spans="2:30" x14ac:dyDescent="0.35">
      <c r="B38" s="81"/>
      <c r="C38" s="15" t="s">
        <v>164</v>
      </c>
      <c r="D38" s="35"/>
      <c r="E38" s="22" t="s">
        <v>165</v>
      </c>
      <c r="F38" s="18" t="s">
        <v>161</v>
      </c>
      <c r="G38" s="18" t="s">
        <v>142</v>
      </c>
      <c r="H38" s="29">
        <f>MIN((H34-H5)*Data!$E$6,0)</f>
        <v>-2.7110477999999998</v>
      </c>
      <c r="I38" s="29">
        <f>MIN((I34-I7)*Data!$E$6,0)</f>
        <v>-2.6360345999999999</v>
      </c>
      <c r="J38" s="29">
        <f>MIN((J34-J7)*Data!$E$6,0)</f>
        <v>-2.5610214000000004</v>
      </c>
      <c r="K38" s="29">
        <f>MIN((K34-K7)*Data!$E$6,0)</f>
        <v>-2.3959923599999997</v>
      </c>
      <c r="L38" s="29">
        <f>MIN((L34-L7)*Data!$E$6,0)</f>
        <v>-2.2309633199999999</v>
      </c>
      <c r="M38" s="29">
        <f>MIN((M34-M7)*Data!$E$6,0)</f>
        <v>-2.06593428</v>
      </c>
      <c r="N38" s="29">
        <f>MIN((N34-N7)*Data!$E$6,0)</f>
        <v>-1.9009052399999997</v>
      </c>
      <c r="O38" s="29">
        <f>MIN((O34-O7)*Data!$E$6,0)</f>
        <v>-1.7358761999999572</v>
      </c>
      <c r="P38" s="29">
        <f>MIN((P34-P7)*Data!$E$6,0)</f>
        <v>-1.4733299999999827</v>
      </c>
      <c r="Q38" s="29">
        <f>MIN((Q34-Q7)*Data!$E$6,0)</f>
        <v>-1.2107838000000086</v>
      </c>
      <c r="R38" s="29">
        <f>MIN((R34-R7)*Data!$E$6,0)</f>
        <v>-0.94823759999992752</v>
      </c>
      <c r="S38" s="29">
        <f>MIN((S34-S7)*Data!$E$6,0)</f>
        <v>-0.6856913999999531</v>
      </c>
      <c r="T38" s="29">
        <f>MIN((T34-T7)*Data!$E$6,0)</f>
        <v>-0.42314519999997857</v>
      </c>
      <c r="U38" s="29">
        <f>MIN((U34-U7)*Data!$E$6,0)</f>
        <v>-0.310625400000001</v>
      </c>
      <c r="V38" s="29">
        <f>MIN((V34-V7)*Data!$E$6,0)</f>
        <v>-0.19810559999999675</v>
      </c>
      <c r="W38" s="29">
        <f>MIN((W34-W7)*Data!$E$6,0)</f>
        <v>-8.5585799999992482E-2</v>
      </c>
      <c r="X38" s="29">
        <f>MIN((X34-X7)*Data!$E$6,0)</f>
        <v>0</v>
      </c>
      <c r="Y38" s="29">
        <f>MIN((Y34-Y7)*Data!$E$6,0)</f>
        <v>0</v>
      </c>
      <c r="Z38" s="29">
        <f>MIN((Z34-Z7)*Data!$E$6,0)</f>
        <v>0</v>
      </c>
      <c r="AA38" s="29">
        <f>MIN((AA34-AA7)*Data!$E$6,0)</f>
        <v>0</v>
      </c>
      <c r="AB38" s="29">
        <f>MIN((AB34-AB7)*Data!$E$6,0)</f>
        <v>0</v>
      </c>
      <c r="AC38" s="29">
        <f>MIN((AC34-AC7)*Data!$E$6,0)</f>
        <v>0</v>
      </c>
      <c r="AD38" s="29">
        <f>MIN((AD34-AD7)*Data!$E$6,0)</f>
        <v>0</v>
      </c>
    </row>
    <row r="39" spans="2:30" x14ac:dyDescent="0.35">
      <c r="B39" s="81"/>
      <c r="C39" s="15" t="s">
        <v>166</v>
      </c>
      <c r="D39" s="106" t="str">
        <f>'CCC Summary'!$C$46</f>
        <v>Enter fixed price</v>
      </c>
      <c r="E39" s="22" t="s">
        <v>107</v>
      </c>
      <c r="F39" s="18" t="str">
        <f>IF('CCC Summary'!$C$25="Yes",'CCC Summary'!$D$25,"")</f>
        <v/>
      </c>
      <c r="G39" s="18" t="s">
        <v>126</v>
      </c>
      <c r="H39" s="29">
        <f>IF($D$39="Enter fixed price",'CCC Summary'!$C$47/(Data!$E$6*1000),INDEX(Data!$B$26:$AA$35,MATCH($D$39,Data!$B$26:$B$35,0),MATCH(H$3,Data!$B$26:$AA$26,0)))</f>
        <v>49.751243781094523</v>
      </c>
      <c r="I39" s="29">
        <f>IF($D$39="Enter fixed price",'CCC Summary'!$C$47/(Data!$E$6*1000),INDEX(Data!$B$26:$AA$35,MATCH($D$39,Data!$B$26:$B$35,0),MATCH(I$3,Data!$B$26:$AA$26,0)))</f>
        <v>49.751243781094523</v>
      </c>
      <c r="J39" s="29">
        <f>IF($D$39="Enter fixed price",'CCC Summary'!$C$47/(Data!$E$6*1000),INDEX(Data!$B$26:$AA$35,MATCH($D$39,Data!$B$26:$B$35,0),MATCH(J$3,Data!$B$26:$AA$26,0)))</f>
        <v>49.751243781094523</v>
      </c>
      <c r="K39" s="29">
        <f>IF($D$39="Enter fixed price",'CCC Summary'!$C$47/(Data!$E$6*1000),INDEX(Data!$B$26:$AA$35,MATCH($D$39,Data!$B$26:$B$35,0),MATCH(K$3,Data!$B$26:$AA$26,0)))</f>
        <v>49.751243781094523</v>
      </c>
      <c r="L39" s="29">
        <f>IF($D$39="Enter fixed price",'CCC Summary'!$C$47/(Data!$E$6*1000),INDEX(Data!$B$26:$AA$35,MATCH($D$39,Data!$B$26:$B$35,0),MATCH(L$3,Data!$B$26:$AA$26,0)))</f>
        <v>49.751243781094523</v>
      </c>
      <c r="M39" s="29">
        <f>IF($D$39="Enter fixed price",'CCC Summary'!$C$47/(Data!$E$6*1000),INDEX(Data!$B$26:$AA$35,MATCH($D$39,Data!$B$26:$B$35,0),MATCH(M$3,Data!$B$26:$AA$26,0)))</f>
        <v>49.751243781094523</v>
      </c>
      <c r="N39" s="29">
        <f>IF($D$39="Enter fixed price",'CCC Summary'!$C$47/(Data!$E$6*1000),INDEX(Data!$B$26:$AA$35,MATCH($D$39,Data!$B$26:$B$35,0),MATCH(N$3,Data!$B$26:$AA$26,0)))</f>
        <v>49.751243781094523</v>
      </c>
      <c r="O39" s="29">
        <f>IF($D$39="Enter fixed price",'CCC Summary'!$C$47/(Data!$E$6*1000),INDEX(Data!$B$26:$AA$35,MATCH($D$39,Data!$B$26:$B$35,0),MATCH(O$3,Data!$B$26:$AA$26,0)))</f>
        <v>49.751243781094523</v>
      </c>
      <c r="P39" s="29">
        <f>IF($D$39="Enter fixed price",'CCC Summary'!$C$47/(Data!$E$6*1000),INDEX(Data!$B$26:$AA$35,MATCH($D$39,Data!$B$26:$B$35,0),MATCH(P$3,Data!$B$26:$AA$26,0)))</f>
        <v>49.751243781094523</v>
      </c>
      <c r="Q39" s="29">
        <f>IF($D$39="Enter fixed price",'CCC Summary'!$C$47/(Data!$E$6*1000),INDEX(Data!$B$26:$AA$35,MATCH($D$39,Data!$B$26:$B$35,0),MATCH(Q$3,Data!$B$26:$AA$26,0)))</f>
        <v>49.751243781094523</v>
      </c>
      <c r="R39" s="29">
        <f>IF($D$39="Enter fixed price",'CCC Summary'!$C$47/(Data!$E$6*1000),INDEX(Data!$B$26:$AA$35,MATCH($D$39,Data!$B$26:$B$35,0),MATCH(R$3,Data!$B$26:$AA$26,0)))</f>
        <v>49.751243781094523</v>
      </c>
      <c r="S39" s="29">
        <f>IF($D$39="Enter fixed price",'CCC Summary'!$C$47/(Data!$E$6*1000),INDEX(Data!$B$26:$AA$35,MATCH($D$39,Data!$B$26:$B$35,0),MATCH(S$3,Data!$B$26:$AA$26,0)))</f>
        <v>49.751243781094523</v>
      </c>
      <c r="T39" s="29">
        <f>IF($D$39="Enter fixed price",'CCC Summary'!$C$47/(Data!$E$6*1000),INDEX(Data!$B$26:$AA$35,MATCH($D$39,Data!$B$26:$B$35,0),MATCH(T$3,Data!$B$26:$AA$26,0)))</f>
        <v>49.751243781094523</v>
      </c>
      <c r="U39" s="29">
        <f>IF($D$39="Enter fixed price",'CCC Summary'!$C$47/(Data!$E$6*1000),INDEX(Data!$B$26:$AA$35,MATCH($D$39,Data!$B$26:$B$35,0),MATCH(U$3,Data!$B$26:$AA$26,0)))</f>
        <v>49.751243781094523</v>
      </c>
      <c r="V39" s="29">
        <f>IF($D$39="Enter fixed price",'CCC Summary'!$C$47/(Data!$E$6*1000),INDEX(Data!$B$26:$AA$35,MATCH($D$39,Data!$B$26:$B$35,0),MATCH(V$3,Data!$B$26:$AA$26,0)))</f>
        <v>49.751243781094523</v>
      </c>
      <c r="W39" s="29">
        <f>IF($D$39="Enter fixed price",'CCC Summary'!$C$47/(Data!$E$6*1000),INDEX(Data!$B$26:$AA$35,MATCH($D$39,Data!$B$26:$B$35,0),MATCH(W$3,Data!$B$26:$AA$26,0)))</f>
        <v>49.751243781094523</v>
      </c>
      <c r="X39" s="29">
        <f>IF($D$39="Enter fixed price",'CCC Summary'!$C$47/(Data!$E$6*1000),INDEX(Data!$B$26:$AA$35,MATCH($D$39,Data!$B$26:$B$35,0),MATCH(X$3,Data!$B$26:$AA$26,0)))</f>
        <v>49.751243781094523</v>
      </c>
      <c r="Y39" s="29">
        <f>IF($D$39="Enter fixed price",'CCC Summary'!$C$47/(Data!$E$6*1000),INDEX(Data!$B$26:$AA$35,MATCH($D$39,Data!$B$26:$B$35,0),MATCH(Y$3,Data!$B$26:$AA$26,0)))</f>
        <v>49.751243781094523</v>
      </c>
      <c r="Z39" s="29">
        <f>IF($D$39="Enter fixed price",'CCC Summary'!$C$47/(Data!$E$6*1000),INDEX(Data!$B$26:$AA$35,MATCH($D$39,Data!$B$26:$B$35,0),MATCH(Z$3,Data!$B$26:$AA$26,0)))</f>
        <v>49.751243781094523</v>
      </c>
      <c r="AA39" s="29">
        <f>IF($D$39="Enter fixed price",'CCC Summary'!$C$47/(Data!$E$6*1000),INDEX(Data!$B$26:$AA$35,MATCH($D$39,Data!$B$26:$B$35,0),MATCH(AA$3,Data!$B$26:$AA$26,0)))</f>
        <v>49.751243781094523</v>
      </c>
      <c r="AB39" s="29">
        <f>IF($D$39="Enter fixed price",'CCC Summary'!$C$47/(Data!$E$6*1000),INDEX(Data!$B$26:$AA$35,MATCH($D$39,Data!$B$26:$B$35,0),MATCH(AB$3,Data!$B$26:$AA$26,0)))</f>
        <v>49.751243781094523</v>
      </c>
      <c r="AC39" s="29">
        <f>IF($D$39="Enter fixed price",'CCC Summary'!$C$47/(Data!$E$6*1000),INDEX(Data!$B$26:$AA$35,MATCH($D$39,Data!$B$26:$B$35,0),MATCH(AC$3,Data!$B$26:$AA$26,0)))</f>
        <v>49.751243781094523</v>
      </c>
      <c r="AD39" s="29">
        <f>IF($D$39="Enter fixed price",'CCC Summary'!$C$47/(Data!$E$6*1000),INDEX(Data!$B$26:$AA$35,MATCH($D$39,Data!$B$26:$B$35,0),MATCH(AD$3,Data!$B$26:$AA$26,0)))</f>
        <v>49.751243781094523</v>
      </c>
    </row>
    <row r="41" spans="2:30" x14ac:dyDescent="0.35">
      <c r="C41" s="19" t="s">
        <v>167</v>
      </c>
    </row>
    <row r="42" spans="2:30" x14ac:dyDescent="0.35">
      <c r="C42" s="38" t="s">
        <v>168</v>
      </c>
      <c r="D42" s="104" t="s">
        <v>112</v>
      </c>
      <c r="E42" s="78" t="s">
        <v>72</v>
      </c>
      <c r="F42" s="78" t="s">
        <v>99</v>
      </c>
      <c r="G42" s="31" t="s">
        <v>100</v>
      </c>
      <c r="H42" s="111">
        <v>2028</v>
      </c>
      <c r="I42" s="111">
        <v>2029</v>
      </c>
      <c r="J42" s="111">
        <v>2030</v>
      </c>
      <c r="K42" s="111">
        <v>2031</v>
      </c>
      <c r="L42" s="111">
        <v>2032</v>
      </c>
      <c r="M42" s="111">
        <v>2033</v>
      </c>
      <c r="N42" s="111">
        <v>2034</v>
      </c>
      <c r="O42" s="111">
        <v>2035</v>
      </c>
      <c r="P42" s="110">
        <v>2036</v>
      </c>
      <c r="Q42" s="110">
        <v>2037</v>
      </c>
      <c r="R42" s="111">
        <v>2038</v>
      </c>
      <c r="S42" s="111">
        <v>2039</v>
      </c>
      <c r="T42" s="111">
        <v>2040</v>
      </c>
      <c r="U42" s="111">
        <v>2041</v>
      </c>
      <c r="V42" s="111">
        <v>2042</v>
      </c>
      <c r="W42" s="111">
        <v>2043</v>
      </c>
      <c r="X42" s="111">
        <v>2044</v>
      </c>
      <c r="Y42" s="111">
        <v>2045</v>
      </c>
      <c r="Z42" s="110">
        <v>2046</v>
      </c>
      <c r="AA42" s="110">
        <v>2047</v>
      </c>
      <c r="AB42" s="111">
        <v>2048</v>
      </c>
      <c r="AC42" s="111">
        <v>2049</v>
      </c>
      <c r="AD42" s="111">
        <v>2050</v>
      </c>
    </row>
    <row r="43" spans="2:30" x14ac:dyDescent="0.35">
      <c r="C43" t="s">
        <v>35</v>
      </c>
      <c r="D43" s="106" t="str">
        <f>'CCC Summary'!$C$21</f>
        <v>No</v>
      </c>
      <c r="E43" s="76" t="s">
        <v>169</v>
      </c>
      <c r="F43" s="77" t="s">
        <v>170</v>
      </c>
      <c r="G43" s="76" t="s">
        <v>171</v>
      </c>
      <c r="H43" s="115" t="str">
        <f t="shared" ref="H43:AD43" si="6">IF($D43="No","NA",H91-H6)</f>
        <v>NA</v>
      </c>
      <c r="I43" s="115" t="str">
        <f t="shared" si="6"/>
        <v>NA</v>
      </c>
      <c r="J43" s="115" t="str">
        <f t="shared" si="6"/>
        <v>NA</v>
      </c>
      <c r="K43" s="115" t="str">
        <f t="shared" si="6"/>
        <v>NA</v>
      </c>
      <c r="L43" s="115" t="str">
        <f t="shared" si="6"/>
        <v>NA</v>
      </c>
      <c r="M43" s="115" t="str">
        <f t="shared" si="6"/>
        <v>NA</v>
      </c>
      <c r="N43" s="115" t="str">
        <f t="shared" si="6"/>
        <v>NA</v>
      </c>
      <c r="O43" s="115" t="str">
        <f t="shared" si="6"/>
        <v>NA</v>
      </c>
      <c r="P43" s="115" t="str">
        <f t="shared" si="6"/>
        <v>NA</v>
      </c>
      <c r="Q43" s="115" t="str">
        <f t="shared" si="6"/>
        <v>NA</v>
      </c>
      <c r="R43" s="115" t="str">
        <f t="shared" si="6"/>
        <v>NA</v>
      </c>
      <c r="S43" s="115" t="str">
        <f t="shared" si="6"/>
        <v>NA</v>
      </c>
      <c r="T43" s="115" t="str">
        <f t="shared" si="6"/>
        <v>NA</v>
      </c>
      <c r="U43" s="115" t="str">
        <f t="shared" si="6"/>
        <v>NA</v>
      </c>
      <c r="V43" s="115" t="str">
        <f t="shared" si="6"/>
        <v>NA</v>
      </c>
      <c r="W43" s="115" t="str">
        <f t="shared" si="6"/>
        <v>NA</v>
      </c>
      <c r="X43" s="115" t="str">
        <f t="shared" si="6"/>
        <v>NA</v>
      </c>
      <c r="Y43" s="115" t="str">
        <f t="shared" si="6"/>
        <v>NA</v>
      </c>
      <c r="Z43" s="115" t="str">
        <f t="shared" si="6"/>
        <v>NA</v>
      </c>
      <c r="AA43" s="115" t="str">
        <f t="shared" si="6"/>
        <v>NA</v>
      </c>
      <c r="AB43" s="115" t="str">
        <f t="shared" si="6"/>
        <v>NA</v>
      </c>
      <c r="AC43" s="115" t="str">
        <f t="shared" si="6"/>
        <v>NA</v>
      </c>
      <c r="AD43" s="115" t="str">
        <f t="shared" si="6"/>
        <v>NA</v>
      </c>
    </row>
    <row r="44" spans="2:30" x14ac:dyDescent="0.35">
      <c r="C44" t="s">
        <v>172</v>
      </c>
      <c r="D44" s="106" t="str">
        <f>'CCC Summary'!$C$19</f>
        <v>Yes</v>
      </c>
      <c r="E44" s="76" t="s">
        <v>173</v>
      </c>
      <c r="F44"/>
      <c r="G44" s="76" t="s">
        <v>171</v>
      </c>
      <c r="H44" s="115">
        <f>IF($D44="No","NA",H54)</f>
        <v>268.00339598295881</v>
      </c>
      <c r="I44" s="115">
        <f t="shared" ref="I44:AD44" si="7">IF($D44="No","NA",I54)</f>
        <v>291.07655794790975</v>
      </c>
      <c r="J44" s="115">
        <f t="shared" si="7"/>
        <v>314.14971991285853</v>
      </c>
      <c r="K44" s="115">
        <f t="shared" si="7"/>
        <v>333.23562242452243</v>
      </c>
      <c r="L44" s="115">
        <f t="shared" si="7"/>
        <v>352.32152493618628</v>
      </c>
      <c r="M44" s="115">
        <f t="shared" si="7"/>
        <v>371.40742744785018</v>
      </c>
      <c r="N44" s="115">
        <f t="shared" si="7"/>
        <v>390.49332995951403</v>
      </c>
      <c r="O44" s="115">
        <f t="shared" si="7"/>
        <v>409.57923247117793</v>
      </c>
      <c r="P44" s="115">
        <f t="shared" si="7"/>
        <v>428.66513498284178</v>
      </c>
      <c r="Q44" s="115">
        <f t="shared" si="7"/>
        <v>447.75103749450562</v>
      </c>
      <c r="R44" s="115">
        <f t="shared" si="7"/>
        <v>466.83694000616958</v>
      </c>
      <c r="S44" s="115">
        <f t="shared" si="7"/>
        <v>485.92284251783343</v>
      </c>
      <c r="T44" s="115">
        <f t="shared" si="7"/>
        <v>505.00874502949728</v>
      </c>
      <c r="U44" s="115">
        <f t="shared" si="7"/>
        <v>522.73136879032802</v>
      </c>
      <c r="V44" s="115">
        <f t="shared" si="7"/>
        <v>540.45399255115865</v>
      </c>
      <c r="W44" s="115">
        <f t="shared" si="7"/>
        <v>558.17661631198951</v>
      </c>
      <c r="X44" s="115">
        <f t="shared" si="7"/>
        <v>575.89924007282013</v>
      </c>
      <c r="Y44" s="115">
        <f t="shared" si="7"/>
        <v>593.62186383365099</v>
      </c>
      <c r="Z44" s="115">
        <f t="shared" si="7"/>
        <v>611.34448759448173</v>
      </c>
      <c r="AA44" s="115">
        <f t="shared" si="7"/>
        <v>629.06711135531236</v>
      </c>
      <c r="AB44" s="115">
        <f t="shared" si="7"/>
        <v>646.78973511614322</v>
      </c>
      <c r="AC44" s="115">
        <f t="shared" si="7"/>
        <v>664.51235887697385</v>
      </c>
      <c r="AD44" s="115">
        <f t="shared" si="7"/>
        <v>682.23498263780459</v>
      </c>
    </row>
    <row r="45" spans="2:30" x14ac:dyDescent="0.35">
      <c r="C45" t="s">
        <v>174</v>
      </c>
      <c r="D45" s="106" t="str">
        <f>'CCC Summary'!$C$20</f>
        <v>Yes</v>
      </c>
      <c r="E45" s="76" t="s">
        <v>173</v>
      </c>
      <c r="F45"/>
      <c r="G45" s="76" t="s">
        <v>171</v>
      </c>
      <c r="H45" s="115">
        <f t="shared" ref="H45:AD45" si="8">IF($D45="No","NA",H71)</f>
        <v>428.29345012272921</v>
      </c>
      <c r="I45" s="115">
        <f t="shared" si="8"/>
        <v>457.66342272834925</v>
      </c>
      <c r="J45" s="115">
        <f t="shared" si="8"/>
        <v>486.84700712557276</v>
      </c>
      <c r="K45" s="115">
        <f t="shared" si="8"/>
        <v>499.99427890958833</v>
      </c>
      <c r="L45" s="115">
        <f t="shared" si="8"/>
        <v>512.95950865142913</v>
      </c>
      <c r="M45" s="115">
        <f t="shared" si="8"/>
        <v>525.77721790692874</v>
      </c>
      <c r="N45" s="115">
        <f t="shared" si="8"/>
        <v>538.37786481909814</v>
      </c>
      <c r="O45" s="115">
        <f t="shared" si="8"/>
        <v>550.79646968909242</v>
      </c>
      <c r="P45" s="115">
        <f t="shared" si="8"/>
        <v>566.81176136073168</v>
      </c>
      <c r="Q45" s="115">
        <f t="shared" si="8"/>
        <v>582.64883116871613</v>
      </c>
      <c r="R45" s="115">
        <f t="shared" si="8"/>
        <v>598.22352157561988</v>
      </c>
      <c r="S45" s="115">
        <f t="shared" si="8"/>
        <v>613.57821271901003</v>
      </c>
      <c r="T45" s="115">
        <f t="shared" si="8"/>
        <v>628.71290459888678</v>
      </c>
      <c r="U45" s="115">
        <f t="shared" si="8"/>
        <v>647.43320362876102</v>
      </c>
      <c r="V45" s="115">
        <f t="shared" si="8"/>
        <v>665.84704073702972</v>
      </c>
      <c r="W45" s="115">
        <f t="shared" si="8"/>
        <v>684.00475643005564</v>
      </c>
      <c r="X45" s="115">
        <f t="shared" si="8"/>
        <v>701.90635070783901</v>
      </c>
      <c r="Y45" s="115">
        <f t="shared" si="8"/>
        <v>719.59865364173254</v>
      </c>
      <c r="Z45" s="115">
        <f t="shared" si="8"/>
        <v>741.73621898028443</v>
      </c>
      <c r="AA45" s="115">
        <f t="shared" si="8"/>
        <v>763.57103096442233</v>
      </c>
      <c r="AB45" s="115">
        <f t="shared" si="8"/>
        <v>785.10308959414692</v>
      </c>
      <c r="AC45" s="115">
        <f t="shared" si="8"/>
        <v>806.38913321521261</v>
      </c>
      <c r="AD45" s="115">
        <f t="shared" si="8"/>
        <v>827.31485567486402</v>
      </c>
    </row>
    <row r="46" spans="2:30" x14ac:dyDescent="0.35">
      <c r="C46" t="s">
        <v>175</v>
      </c>
      <c r="D46" s="105" t="s">
        <v>32</v>
      </c>
      <c r="E46" s="76" t="s">
        <v>176</v>
      </c>
      <c r="F46"/>
      <c r="G46" s="76" t="s">
        <v>177</v>
      </c>
      <c r="H46" s="115">
        <f>Data!E15</f>
        <v>380</v>
      </c>
      <c r="I46" s="115">
        <f>Data!F15</f>
        <v>380</v>
      </c>
      <c r="J46" s="115">
        <f>Data!G15</f>
        <v>380</v>
      </c>
      <c r="K46" s="115">
        <f>Data!H15</f>
        <v>380</v>
      </c>
      <c r="L46" s="115">
        <f>Data!I15</f>
        <v>380</v>
      </c>
      <c r="M46" s="115">
        <f>Data!J15</f>
        <v>380</v>
      </c>
      <c r="N46" s="115">
        <f>Data!K15</f>
        <v>380</v>
      </c>
      <c r="O46" s="115">
        <f>Data!L15</f>
        <v>380</v>
      </c>
      <c r="P46" s="115">
        <f>Data!M15</f>
        <v>380</v>
      </c>
      <c r="Q46" s="115">
        <f>Data!N15</f>
        <v>380</v>
      </c>
      <c r="R46" s="115">
        <f>Data!O15</f>
        <v>380</v>
      </c>
      <c r="S46" s="115">
        <f>Data!P15</f>
        <v>380</v>
      </c>
      <c r="T46" s="115">
        <f>Data!Q15</f>
        <v>380</v>
      </c>
      <c r="U46" s="115">
        <f>Data!R15</f>
        <v>380</v>
      </c>
      <c r="V46" s="115">
        <f>Data!S15</f>
        <v>380</v>
      </c>
      <c r="W46" s="115">
        <f>Data!T15</f>
        <v>380</v>
      </c>
      <c r="X46" s="115">
        <f>Data!U15</f>
        <v>380</v>
      </c>
      <c r="Y46" s="115">
        <f>Data!V15</f>
        <v>380</v>
      </c>
      <c r="Z46" s="115">
        <f>Data!W15</f>
        <v>380</v>
      </c>
      <c r="AA46" s="115">
        <f>Data!X15</f>
        <v>380</v>
      </c>
      <c r="AB46" s="115">
        <f>Data!Y15</f>
        <v>380</v>
      </c>
      <c r="AC46" s="115">
        <f>Data!Z15</f>
        <v>380</v>
      </c>
      <c r="AD46" s="115">
        <f>Data!AA15</f>
        <v>380</v>
      </c>
    </row>
    <row r="47" spans="2:30" x14ac:dyDescent="0.35">
      <c r="C47" t="s">
        <v>178</v>
      </c>
      <c r="D47"/>
      <c r="E47" s="76" t="s">
        <v>179</v>
      </c>
      <c r="F47"/>
      <c r="G47" s="76" t="s">
        <v>180</v>
      </c>
      <c r="H47" s="115">
        <f>MIN(H43:H46)</f>
        <v>268.00339598295881</v>
      </c>
      <c r="I47" s="115">
        <f t="shared" ref="I47:AD47" si="9">MIN(I43:I46)</f>
        <v>291.07655794790975</v>
      </c>
      <c r="J47" s="115">
        <f t="shared" si="9"/>
        <v>314.14971991285853</v>
      </c>
      <c r="K47" s="115">
        <f t="shared" si="9"/>
        <v>333.23562242452243</v>
      </c>
      <c r="L47" s="115">
        <f t="shared" si="9"/>
        <v>352.32152493618628</v>
      </c>
      <c r="M47" s="115">
        <f t="shared" si="9"/>
        <v>371.40742744785018</v>
      </c>
      <c r="N47" s="115">
        <f t="shared" si="9"/>
        <v>380</v>
      </c>
      <c r="O47" s="115">
        <f t="shared" si="9"/>
        <v>380</v>
      </c>
      <c r="P47" s="115">
        <f t="shared" si="9"/>
        <v>380</v>
      </c>
      <c r="Q47" s="115">
        <f t="shared" si="9"/>
        <v>380</v>
      </c>
      <c r="R47" s="115">
        <f t="shared" si="9"/>
        <v>380</v>
      </c>
      <c r="S47" s="115">
        <f t="shared" si="9"/>
        <v>380</v>
      </c>
      <c r="T47" s="115">
        <f t="shared" si="9"/>
        <v>380</v>
      </c>
      <c r="U47" s="115">
        <f t="shared" si="9"/>
        <v>380</v>
      </c>
      <c r="V47" s="115">
        <f t="shared" si="9"/>
        <v>380</v>
      </c>
      <c r="W47" s="115">
        <f t="shared" si="9"/>
        <v>380</v>
      </c>
      <c r="X47" s="115">
        <f t="shared" si="9"/>
        <v>380</v>
      </c>
      <c r="Y47" s="115">
        <f t="shared" si="9"/>
        <v>380</v>
      </c>
      <c r="Z47" s="115">
        <f t="shared" si="9"/>
        <v>380</v>
      </c>
      <c r="AA47" s="115">
        <f t="shared" si="9"/>
        <v>380</v>
      </c>
      <c r="AB47" s="115">
        <f t="shared" si="9"/>
        <v>380</v>
      </c>
      <c r="AC47" s="115">
        <f t="shared" si="9"/>
        <v>380</v>
      </c>
      <c r="AD47" s="115">
        <f t="shared" si="9"/>
        <v>380</v>
      </c>
    </row>
    <row r="48" spans="2:30" x14ac:dyDescent="0.35">
      <c r="D48"/>
      <c r="E48"/>
      <c r="F48"/>
      <c r="G48"/>
    </row>
    <row r="50" spans="2:32" x14ac:dyDescent="0.35">
      <c r="C50" s="19" t="s">
        <v>181</v>
      </c>
      <c r="D50" s="22"/>
      <c r="E50" s="22"/>
      <c r="F50" s="18"/>
      <c r="G50" s="18"/>
    </row>
    <row r="51" spans="2:32" s="85" customFormat="1" x14ac:dyDescent="0.35">
      <c r="B51" s="75"/>
      <c r="C51" s="38" t="s">
        <v>111</v>
      </c>
      <c r="D51" s="78" t="s">
        <v>112</v>
      </c>
      <c r="E51" s="78" t="s">
        <v>72</v>
      </c>
      <c r="F51" s="78" t="s">
        <v>99</v>
      </c>
      <c r="G51" s="31" t="s">
        <v>100</v>
      </c>
      <c r="H51" s="111">
        <v>2028</v>
      </c>
      <c r="I51" s="111">
        <v>2029</v>
      </c>
      <c r="J51" s="111">
        <v>2030</v>
      </c>
      <c r="K51" s="111">
        <v>2031</v>
      </c>
      <c r="L51" s="111">
        <v>2032</v>
      </c>
      <c r="M51" s="111">
        <v>2033</v>
      </c>
      <c r="N51" s="111">
        <v>2034</v>
      </c>
      <c r="O51" s="111">
        <v>2035</v>
      </c>
      <c r="P51" s="110">
        <v>2036</v>
      </c>
      <c r="Q51" s="110">
        <v>2037</v>
      </c>
      <c r="R51" s="111">
        <v>2038</v>
      </c>
      <c r="S51" s="111">
        <v>2039</v>
      </c>
      <c r="T51" s="111">
        <v>2040</v>
      </c>
      <c r="U51" s="111">
        <v>2041</v>
      </c>
      <c r="V51" s="111">
        <v>2042</v>
      </c>
      <c r="W51" s="111">
        <v>2043</v>
      </c>
      <c r="X51" s="111">
        <v>2044</v>
      </c>
      <c r="Y51" s="111">
        <v>2045</v>
      </c>
      <c r="Z51" s="110">
        <v>2046</v>
      </c>
      <c r="AA51" s="110">
        <v>2047</v>
      </c>
      <c r="AB51" s="111">
        <v>2048</v>
      </c>
      <c r="AC51" s="111">
        <v>2049</v>
      </c>
      <c r="AD51" s="111">
        <v>2050</v>
      </c>
    </row>
    <row r="52" spans="2:32" s="85" customFormat="1" x14ac:dyDescent="0.35">
      <c r="B52" s="75"/>
      <c r="C52" s="15" t="s">
        <v>182</v>
      </c>
      <c r="D52" s="22"/>
      <c r="E52" s="22" t="s">
        <v>183</v>
      </c>
      <c r="F52" s="18" t="s">
        <v>184</v>
      </c>
      <c r="G52" s="18" t="s">
        <v>126</v>
      </c>
      <c r="H52" s="29">
        <f>H$29-H$15</f>
        <v>19.658737864077708</v>
      </c>
      <c r="I52" s="29">
        <f t="shared" ref="I52:AD52" si="10">I$29-I$15</f>
        <v>21.351213592233108</v>
      </c>
      <c r="J52" s="29">
        <f t="shared" si="10"/>
        <v>23.043689320388353</v>
      </c>
      <c r="K52" s="29">
        <f t="shared" si="10"/>
        <v>24.443689320388351</v>
      </c>
      <c r="L52" s="29">
        <f t="shared" si="10"/>
        <v>25.84368932038835</v>
      </c>
      <c r="M52" s="29">
        <f t="shared" si="10"/>
        <v>27.243689320388356</v>
      </c>
      <c r="N52" s="29">
        <f t="shared" si="10"/>
        <v>28.643689320388354</v>
      </c>
      <c r="O52" s="29">
        <f t="shared" si="10"/>
        <v>30.043689320388353</v>
      </c>
      <c r="P52" s="29">
        <f t="shared" si="10"/>
        <v>31.443689320388351</v>
      </c>
      <c r="Q52" s="29">
        <f t="shared" si="10"/>
        <v>32.84368932038835</v>
      </c>
      <c r="R52" s="29">
        <f t="shared" si="10"/>
        <v>34.243689320388356</v>
      </c>
      <c r="S52" s="29">
        <f t="shared" si="10"/>
        <v>35.643689320388354</v>
      </c>
      <c r="T52" s="29">
        <f t="shared" si="10"/>
        <v>37.043689320388353</v>
      </c>
      <c r="U52" s="29">
        <f t="shared" si="10"/>
        <v>38.343689320388357</v>
      </c>
      <c r="V52" s="29">
        <f t="shared" si="10"/>
        <v>39.643689320388347</v>
      </c>
      <c r="W52" s="29">
        <f t="shared" si="10"/>
        <v>40.943689320388359</v>
      </c>
      <c r="X52" s="29">
        <f t="shared" si="10"/>
        <v>42.243689320388349</v>
      </c>
      <c r="Y52" s="29">
        <f t="shared" si="10"/>
        <v>43.543689320388353</v>
      </c>
      <c r="Z52" s="29">
        <f t="shared" si="10"/>
        <v>44.843689320388357</v>
      </c>
      <c r="AA52" s="29">
        <f t="shared" si="10"/>
        <v>46.143689320388347</v>
      </c>
      <c r="AB52" s="29">
        <f t="shared" si="10"/>
        <v>47.443689320388359</v>
      </c>
      <c r="AC52" s="29">
        <f t="shared" si="10"/>
        <v>48.743689320388349</v>
      </c>
      <c r="AD52" s="29">
        <f t="shared" si="10"/>
        <v>50.043689320388353</v>
      </c>
    </row>
    <row r="53" spans="2:32" x14ac:dyDescent="0.35">
      <c r="C53" s="15" t="s">
        <v>185</v>
      </c>
      <c r="D53" s="22"/>
      <c r="E53" s="22"/>
      <c r="F53" s="18" t="s">
        <v>186</v>
      </c>
      <c r="G53" s="18" t="s">
        <v>187</v>
      </c>
      <c r="H53" s="29">
        <f>H$12-H$27</f>
        <v>7.3352570000000006E-2</v>
      </c>
      <c r="I53" s="29">
        <f t="shared" ref="I53:AD53" si="11">I$12-I$27</f>
        <v>7.3352570000000006E-2</v>
      </c>
      <c r="J53" s="29">
        <f t="shared" si="11"/>
        <v>7.3352570000000006E-2</v>
      </c>
      <c r="K53" s="29">
        <f t="shared" si="11"/>
        <v>7.3352570000000006E-2</v>
      </c>
      <c r="L53" s="29">
        <f t="shared" si="11"/>
        <v>7.3352570000000006E-2</v>
      </c>
      <c r="M53" s="29">
        <f t="shared" si="11"/>
        <v>7.3352570000000006E-2</v>
      </c>
      <c r="N53" s="29">
        <f t="shared" si="11"/>
        <v>7.3352570000000006E-2</v>
      </c>
      <c r="O53" s="29">
        <f t="shared" si="11"/>
        <v>7.3352570000000006E-2</v>
      </c>
      <c r="P53" s="29">
        <f t="shared" si="11"/>
        <v>7.3352570000000006E-2</v>
      </c>
      <c r="Q53" s="29">
        <f t="shared" si="11"/>
        <v>7.3352570000000006E-2</v>
      </c>
      <c r="R53" s="29">
        <f t="shared" si="11"/>
        <v>7.3352570000000006E-2</v>
      </c>
      <c r="S53" s="29">
        <f t="shared" si="11"/>
        <v>7.3352570000000006E-2</v>
      </c>
      <c r="T53" s="29">
        <f t="shared" si="11"/>
        <v>7.3352570000000006E-2</v>
      </c>
      <c r="U53" s="29">
        <f t="shared" si="11"/>
        <v>7.3352570000000006E-2</v>
      </c>
      <c r="V53" s="29">
        <f t="shared" si="11"/>
        <v>7.3352570000000006E-2</v>
      </c>
      <c r="W53" s="29">
        <f t="shared" si="11"/>
        <v>7.3352570000000006E-2</v>
      </c>
      <c r="X53" s="29">
        <f t="shared" si="11"/>
        <v>7.3352570000000006E-2</v>
      </c>
      <c r="Y53" s="29">
        <f t="shared" si="11"/>
        <v>7.3352570000000006E-2</v>
      </c>
      <c r="Z53" s="29">
        <f t="shared" si="11"/>
        <v>7.3352570000000006E-2</v>
      </c>
      <c r="AA53" s="29">
        <f t="shared" si="11"/>
        <v>7.3352570000000006E-2</v>
      </c>
      <c r="AB53" s="29">
        <f t="shared" si="11"/>
        <v>7.3352570000000006E-2</v>
      </c>
      <c r="AC53" s="29">
        <f t="shared" si="11"/>
        <v>7.3352570000000006E-2</v>
      </c>
      <c r="AD53" s="29">
        <f t="shared" si="11"/>
        <v>7.3352570000000006E-2</v>
      </c>
    </row>
    <row r="54" spans="2:32" x14ac:dyDescent="0.35">
      <c r="B54" s="86" t="s">
        <v>188</v>
      </c>
      <c r="C54" s="15" t="s">
        <v>189</v>
      </c>
      <c r="D54" s="22"/>
      <c r="E54" s="22" t="s">
        <v>190</v>
      </c>
      <c r="F54" s="18" t="s">
        <v>191</v>
      </c>
      <c r="G54" s="18" t="s">
        <v>171</v>
      </c>
      <c r="H54" s="29">
        <f>H52/H53</f>
        <v>268.00339598295881</v>
      </c>
      <c r="I54" s="29">
        <f t="shared" ref="I54:AD54" si="12">I52/I53</f>
        <v>291.07655794790975</v>
      </c>
      <c r="J54" s="29">
        <f t="shared" si="12"/>
        <v>314.14971991285853</v>
      </c>
      <c r="K54" s="29">
        <f t="shared" si="12"/>
        <v>333.23562242452243</v>
      </c>
      <c r="L54" s="29">
        <f t="shared" si="12"/>
        <v>352.32152493618628</v>
      </c>
      <c r="M54" s="29">
        <f t="shared" si="12"/>
        <v>371.40742744785018</v>
      </c>
      <c r="N54" s="29">
        <f t="shared" si="12"/>
        <v>390.49332995951403</v>
      </c>
      <c r="O54" s="29">
        <f t="shared" si="12"/>
        <v>409.57923247117793</v>
      </c>
      <c r="P54" s="29">
        <f t="shared" si="12"/>
        <v>428.66513498284178</v>
      </c>
      <c r="Q54" s="29">
        <f t="shared" si="12"/>
        <v>447.75103749450562</v>
      </c>
      <c r="R54" s="29">
        <f t="shared" si="12"/>
        <v>466.83694000616958</v>
      </c>
      <c r="S54" s="29">
        <f t="shared" si="12"/>
        <v>485.92284251783343</v>
      </c>
      <c r="T54" s="29">
        <f t="shared" si="12"/>
        <v>505.00874502949728</v>
      </c>
      <c r="U54" s="29">
        <f t="shared" si="12"/>
        <v>522.73136879032802</v>
      </c>
      <c r="V54" s="29">
        <f t="shared" si="12"/>
        <v>540.45399255115865</v>
      </c>
      <c r="W54" s="29">
        <f t="shared" si="12"/>
        <v>558.17661631198951</v>
      </c>
      <c r="X54" s="29">
        <f t="shared" si="12"/>
        <v>575.89924007282013</v>
      </c>
      <c r="Y54" s="29">
        <f t="shared" si="12"/>
        <v>593.62186383365099</v>
      </c>
      <c r="Z54" s="29">
        <f t="shared" si="12"/>
        <v>611.34448759448173</v>
      </c>
      <c r="AA54" s="29">
        <f t="shared" si="12"/>
        <v>629.06711135531236</v>
      </c>
      <c r="AB54" s="29">
        <f t="shared" si="12"/>
        <v>646.78973511614322</v>
      </c>
      <c r="AC54" s="29">
        <f t="shared" si="12"/>
        <v>664.51235887697385</v>
      </c>
      <c r="AD54" s="29">
        <f t="shared" si="12"/>
        <v>682.23498263780459</v>
      </c>
    </row>
    <row r="55" spans="2:32" x14ac:dyDescent="0.35">
      <c r="C55" s="15" t="s">
        <v>192</v>
      </c>
      <c r="D55" s="22"/>
      <c r="E55" s="22" t="s">
        <v>193</v>
      </c>
      <c r="F55" s="18" t="s">
        <v>194</v>
      </c>
      <c r="G55" s="18" t="s">
        <v>177</v>
      </c>
      <c r="H55" s="29">
        <f>MIN(H54,Data!E$15)</f>
        <v>268.00339598295881</v>
      </c>
      <c r="I55" s="29">
        <f>MIN(I54,Data!F$15)</f>
        <v>291.07655794790975</v>
      </c>
      <c r="J55" s="29">
        <f>MIN(J54,Data!G$15)</f>
        <v>314.14971991285853</v>
      </c>
      <c r="K55" s="29">
        <f>MIN(K54,Data!H$15)</f>
        <v>333.23562242452243</v>
      </c>
      <c r="L55" s="29">
        <f>MIN(L54,Data!I$15)</f>
        <v>352.32152493618628</v>
      </c>
      <c r="M55" s="29">
        <f>MIN(M54,Data!J$15)</f>
        <v>371.40742744785018</v>
      </c>
      <c r="N55" s="29">
        <f>MIN(N54,Data!K$15)</f>
        <v>380</v>
      </c>
      <c r="O55" s="29">
        <f>MIN(O54,Data!L$15)</f>
        <v>380</v>
      </c>
      <c r="P55" s="29">
        <f>MIN(P54,Data!M$15)</f>
        <v>380</v>
      </c>
      <c r="Q55" s="29">
        <f>MIN(Q54,Data!N$15)</f>
        <v>380</v>
      </c>
      <c r="R55" s="29">
        <f>MIN(R54,Data!O$15)</f>
        <v>380</v>
      </c>
      <c r="S55" s="29">
        <f>MIN(S54,Data!P$15)</f>
        <v>380</v>
      </c>
      <c r="T55" s="29">
        <f>MIN(T54,Data!Q$15)</f>
        <v>380</v>
      </c>
      <c r="U55" s="29">
        <f>MIN(U54,Data!R$15)</f>
        <v>380</v>
      </c>
      <c r="V55" s="29">
        <f>MIN(V54,Data!S$15)</f>
        <v>380</v>
      </c>
      <c r="W55" s="29">
        <f>MIN(W54,Data!T$15)</f>
        <v>380</v>
      </c>
      <c r="X55" s="29">
        <f>MIN(X54,Data!U$15)</f>
        <v>380</v>
      </c>
      <c r="Y55" s="29">
        <f>MIN(Y54,Data!V$15)</f>
        <v>380</v>
      </c>
      <c r="Z55" s="29">
        <f>MIN(Z54,Data!W$15)</f>
        <v>380</v>
      </c>
      <c r="AA55" s="29">
        <f>MIN(AA54,Data!X$15)</f>
        <v>380</v>
      </c>
      <c r="AB55" s="29">
        <f>MIN(AB54,Data!Y$15)</f>
        <v>380</v>
      </c>
      <c r="AC55" s="29">
        <f>MIN(AC54,Data!Z$15)</f>
        <v>380</v>
      </c>
      <c r="AD55" s="29">
        <f>MIN(AD54,Data!AA$15)</f>
        <v>380</v>
      </c>
    </row>
    <row r="56" spans="2:32" x14ac:dyDescent="0.35">
      <c r="C56" s="15" t="s">
        <v>195</v>
      </c>
      <c r="D56" s="22"/>
      <c r="E56" s="22" t="s">
        <v>196</v>
      </c>
      <c r="F56" s="18" t="s">
        <v>194</v>
      </c>
      <c r="G56" s="18"/>
      <c r="H56" s="29" t="str">
        <f>IF(H55=Data!E$15,Data!$B$15,$C$54)</f>
        <v>Bio-diesel blend abatement cost</v>
      </c>
      <c r="I56" s="29" t="str">
        <f>IF(I55=Data!F$15,Data!$B$15,$C$54)</f>
        <v>Bio-diesel blend abatement cost</v>
      </c>
      <c r="J56" s="29" t="str">
        <f>IF(J55=Data!G$15,Data!$B$15,$C$54)</f>
        <v>Bio-diesel blend abatement cost</v>
      </c>
      <c r="K56" s="29" t="str">
        <f>IF(K55=Data!H$15,Data!$B$15,$C$54)</f>
        <v>Bio-diesel blend abatement cost</v>
      </c>
      <c r="L56" s="29" t="str">
        <f>IF(L55=Data!I$15,Data!$B$15,$C$54)</f>
        <v>Bio-diesel blend abatement cost</v>
      </c>
      <c r="M56" s="29" t="str">
        <f>IF(M55=Data!J$15,Data!$B$15,$C$54)</f>
        <v>Bio-diesel blend abatement cost</v>
      </c>
      <c r="N56" s="29" t="str">
        <f>IF(N55=Data!K$15,Data!$B$15,$C$54)</f>
        <v>Tier 2 Remedial Unit Cost</v>
      </c>
      <c r="O56" s="29" t="str">
        <f>IF(O55=Data!L$15,Data!$B$15,$C$54)</f>
        <v>Tier 2 Remedial Unit Cost</v>
      </c>
      <c r="P56" s="29" t="str">
        <f>IF(P55=Data!M$15,Data!$B$15,$C$54)</f>
        <v>Tier 2 Remedial Unit Cost</v>
      </c>
      <c r="Q56" s="29" t="str">
        <f>IF(Q55=Data!N$15,Data!$B$15,$C$54)</f>
        <v>Tier 2 Remedial Unit Cost</v>
      </c>
      <c r="R56" s="29" t="str">
        <f>IF(R55=Data!O$15,Data!$B$15,$C$54)</f>
        <v>Tier 2 Remedial Unit Cost</v>
      </c>
      <c r="S56" s="29" t="str">
        <f>IF(S55=Data!P$15,Data!$B$15,$C$54)</f>
        <v>Tier 2 Remedial Unit Cost</v>
      </c>
      <c r="T56" s="29" t="str">
        <f>IF(T55=Data!Q$15,Data!$B$15,$C$54)</f>
        <v>Tier 2 Remedial Unit Cost</v>
      </c>
      <c r="U56" s="29" t="str">
        <f>IF(U55=Data!R$15,Data!$B$15,$C$54)</f>
        <v>Tier 2 Remedial Unit Cost</v>
      </c>
      <c r="V56" s="29" t="str">
        <f>IF(V55=Data!S$15,Data!$B$15,$C$54)</f>
        <v>Tier 2 Remedial Unit Cost</v>
      </c>
      <c r="W56" s="29" t="str">
        <f>IF(W55=Data!T$15,Data!$B$15,$C$54)</f>
        <v>Tier 2 Remedial Unit Cost</v>
      </c>
      <c r="X56" s="29" t="str">
        <f>IF(X55=Data!U$15,Data!$B$15,$C$54)</f>
        <v>Tier 2 Remedial Unit Cost</v>
      </c>
      <c r="Y56" s="29" t="str">
        <f>IF(Y55=Data!V$15,Data!$B$15,$C$54)</f>
        <v>Tier 2 Remedial Unit Cost</v>
      </c>
      <c r="Z56" s="29" t="str">
        <f>IF(Z55=Data!W$15,Data!$B$15,$C$54)</f>
        <v>Tier 2 Remedial Unit Cost</v>
      </c>
      <c r="AA56" s="29" t="str">
        <f>IF(AA55=Data!X$15,Data!$B$15,$C$54)</f>
        <v>Tier 2 Remedial Unit Cost</v>
      </c>
      <c r="AB56" s="29" t="str">
        <f>IF(AB55=Data!Y$15,Data!$B$15,$C$54)</f>
        <v>Tier 2 Remedial Unit Cost</v>
      </c>
      <c r="AC56" s="29" t="str">
        <f>IF(AC55=Data!Z$15,Data!$B$15,$C$54)</f>
        <v>Tier 2 Remedial Unit Cost</v>
      </c>
      <c r="AD56" s="29" t="str">
        <f>IF(AD55=Data!AA$15,Data!$B$15,$C$54)</f>
        <v>Tier 2 Remedial Unit Cost</v>
      </c>
    </row>
    <row r="57" spans="2:32" x14ac:dyDescent="0.35">
      <c r="C57" s="15" t="s">
        <v>197</v>
      </c>
      <c r="D57" s="22"/>
      <c r="E57" s="22" t="s">
        <v>198</v>
      </c>
      <c r="F57" s="18" t="s">
        <v>199</v>
      </c>
      <c r="G57" s="18" t="s">
        <v>145</v>
      </c>
      <c r="H57" s="29">
        <f>IF(H56=Data!$B$15,H$16,H$54*H$13)</f>
        <v>65.290028413217698</v>
      </c>
      <c r="I57" s="29">
        <f>IF(I56=Data!$B$15,I$16,I$54*I$13)</f>
        <v>92.745613632003682</v>
      </c>
      <c r="J57" s="29">
        <f>IF(J56=Data!$B$15,J$16,J$54*J$13)</f>
        <v>123.66278227700734</v>
      </c>
      <c r="K57" s="29">
        <f>IF(K56=Data!$B$15,K$16,K$54*K$13)</f>
        <v>186.16936566463696</v>
      </c>
      <c r="L57" s="29">
        <f>IF(L56=Data!$B$15,L$16,L$54*L$13)</f>
        <v>254.97540539033372</v>
      </c>
      <c r="M57" s="29">
        <f>IF(M56=Data!$B$15,M$16,M$54*M$13)</f>
        <v>330.08090145409727</v>
      </c>
      <c r="N57" s="29">
        <f>IF(N56=Data!$B$15,N$16,N$54*N$13)</f>
        <v>400.42841316000016</v>
      </c>
      <c r="O57" s="29">
        <f>IF(O56=Data!$B$15,O$16,O$54*O$13)</f>
        <v>463.13944836001639</v>
      </c>
      <c r="P57" s="29">
        <f>IF(P56=Data!$B$15,P$16,P$54*P$13)</f>
        <v>562.90700436000657</v>
      </c>
      <c r="Q57" s="29">
        <f>IF(Q56=Data!$B$15,Q$16,Q$54*Q$13)</f>
        <v>662.6745603599968</v>
      </c>
      <c r="R57" s="29">
        <f>IF(R56=Data!$B$15,R$16,R$54*R$13)</f>
        <v>762.44211636002774</v>
      </c>
      <c r="S57" s="29">
        <f>IF(S56=Data!$B$15,S$16,S$54*S$13)</f>
        <v>862.20967236001786</v>
      </c>
      <c r="T57" s="29">
        <f>IF(T56=Data!$B$15,T$16,T$54*T$13)</f>
        <v>961.97722836000821</v>
      </c>
      <c r="U57" s="29">
        <f>IF(U56=Data!$B$15,U$16,U$54*U$13)</f>
        <v>1004.7347523599997</v>
      </c>
      <c r="V57" s="29">
        <f>IF(V56=Data!$B$15,V$16,V$54*V$13)</f>
        <v>1047.4922763600014</v>
      </c>
      <c r="W57" s="29">
        <f>IF(W56=Data!$B$15,W$16,W$54*W$13)</f>
        <v>1090.2498003600031</v>
      </c>
      <c r="X57" s="29">
        <f>IF(X56=Data!$B$15,X$16,X$54*X$13)</f>
        <v>1133.0073243600045</v>
      </c>
      <c r="Y57" s="29">
        <f>IF(Y56=Data!$B$15,Y$16,Y$54*Y$13)</f>
        <v>1175.764848359996</v>
      </c>
      <c r="Z57" s="29">
        <f>IF(Z56=Data!$B$15,Z$16,Z$54*Z$13)</f>
        <v>1218.5223723599975</v>
      </c>
      <c r="AA57" s="29">
        <f>IF(AA56=Data!$B$15,AA$16,AA$54*AA$13)</f>
        <v>1261.2798963599992</v>
      </c>
      <c r="AB57" s="29">
        <f>IF(AB56=Data!$B$15,AB$16,AB$54*AB$13)</f>
        <v>1304.0374203600009</v>
      </c>
      <c r="AC57" s="29">
        <f>IF(AC56=Data!$B$15,AC$16,AC$54*AC$13)</f>
        <v>1346.7949443600025</v>
      </c>
      <c r="AD57" s="29">
        <f>IF(AD56=Data!$B$15,AD$16,AD$54*AD$13)</f>
        <v>1389.552468360004</v>
      </c>
    </row>
    <row r="58" spans="2:32" x14ac:dyDescent="0.35">
      <c r="B58" s="86" t="s">
        <v>200</v>
      </c>
      <c r="C58" s="15" t="s">
        <v>201</v>
      </c>
      <c r="D58" s="22"/>
      <c r="E58" s="22" t="s">
        <v>193</v>
      </c>
      <c r="F58" s="18" t="s">
        <v>194</v>
      </c>
      <c r="G58" s="18" t="s">
        <v>177</v>
      </c>
      <c r="H58" s="29">
        <f>MIN(Data!E$16,H55)</f>
        <v>100</v>
      </c>
      <c r="I58" s="29">
        <f>MIN(Data!F$16,I55)</f>
        <v>100</v>
      </c>
      <c r="J58" s="29">
        <f>MIN(Data!G$16,J55)</f>
        <v>100</v>
      </c>
      <c r="K58" s="29">
        <f>MIN(Data!H$16,K55)</f>
        <v>100</v>
      </c>
      <c r="L58" s="29">
        <f>MIN(Data!I$16,L55)</f>
        <v>100</v>
      </c>
      <c r="M58" s="29">
        <f>MIN(Data!J$16,M55)</f>
        <v>100</v>
      </c>
      <c r="N58" s="29">
        <f>MIN(Data!K$16,N55)</f>
        <v>100</v>
      </c>
      <c r="O58" s="29">
        <f>MIN(Data!L$16,O55)</f>
        <v>100</v>
      </c>
      <c r="P58" s="29">
        <f>MIN(Data!M$16,P55)</f>
        <v>100</v>
      </c>
      <c r="Q58" s="29">
        <f>MIN(Data!N$16,Q55)</f>
        <v>100</v>
      </c>
      <c r="R58" s="29">
        <f>MIN(Data!O$16,R55)</f>
        <v>100</v>
      </c>
      <c r="S58" s="29">
        <f>MIN(Data!P$16,S55)</f>
        <v>100</v>
      </c>
      <c r="T58" s="29">
        <f>MIN(Data!Q$16,T55)</f>
        <v>100</v>
      </c>
      <c r="U58" s="29">
        <f>MIN(Data!R$16,U55)</f>
        <v>100</v>
      </c>
      <c r="V58" s="29">
        <f>MIN(Data!S$16,V55)</f>
        <v>100</v>
      </c>
      <c r="W58" s="29">
        <f>MIN(Data!T$16,W55)</f>
        <v>100</v>
      </c>
      <c r="X58" s="29">
        <f>MIN(Data!U$16,X55)</f>
        <v>100</v>
      </c>
      <c r="Y58" s="29">
        <f>MIN(Data!V$16,Y55)</f>
        <v>100</v>
      </c>
      <c r="Z58" s="29">
        <f>MIN(Data!W$16,Z55)</f>
        <v>100</v>
      </c>
      <c r="AA58" s="29">
        <f>MIN(Data!X$16,AA55)</f>
        <v>100</v>
      </c>
      <c r="AB58" s="29">
        <f>MIN(Data!Y$16,AB55)</f>
        <v>100</v>
      </c>
      <c r="AC58" s="29">
        <f>MIN(Data!Z$16,AC55)</f>
        <v>100</v>
      </c>
      <c r="AD58" s="29">
        <f>MIN(Data!AA$16,AD55)</f>
        <v>100</v>
      </c>
      <c r="AF58" s="75"/>
    </row>
    <row r="59" spans="2:32" x14ac:dyDescent="0.35">
      <c r="C59" s="15" t="s">
        <v>202</v>
      </c>
      <c r="D59" s="22"/>
      <c r="E59" s="22" t="s">
        <v>196</v>
      </c>
      <c r="F59" s="18" t="s">
        <v>194</v>
      </c>
      <c r="G59" s="18"/>
      <c r="H59" s="29" t="str">
        <f>IF(H58=Data!E$16,Data!$B$16,$C$54)</f>
        <v>Tier 1 Remedial Unit Cost</v>
      </c>
      <c r="I59" s="29" t="str">
        <f>IF(I58=Data!F$16,Data!$B$16,$C$54)</f>
        <v>Tier 1 Remedial Unit Cost</v>
      </c>
      <c r="J59" s="29" t="str">
        <f>IF(J58=Data!G$16,Data!$B$16,$C$54)</f>
        <v>Tier 1 Remedial Unit Cost</v>
      </c>
      <c r="K59" s="29" t="str">
        <f>IF(K58=Data!H$16,Data!$B$16,$C$54)</f>
        <v>Tier 1 Remedial Unit Cost</v>
      </c>
      <c r="L59" s="29" t="str">
        <f>IF(L58=Data!I$16,Data!$B$16,$C$54)</f>
        <v>Tier 1 Remedial Unit Cost</v>
      </c>
      <c r="M59" s="29" t="str">
        <f>IF(M58=Data!J$16,Data!$B$16,$C$54)</f>
        <v>Tier 1 Remedial Unit Cost</v>
      </c>
      <c r="N59" s="29" t="str">
        <f>IF(N58=Data!K$16,Data!$B$16,$C$54)</f>
        <v>Tier 1 Remedial Unit Cost</v>
      </c>
      <c r="O59" s="29" t="str">
        <f>IF(O58=Data!L$16,Data!$B$16,$C$54)</f>
        <v>Tier 1 Remedial Unit Cost</v>
      </c>
      <c r="P59" s="29" t="str">
        <f>IF(P58=Data!M$16,Data!$B$16,$C$54)</f>
        <v>Tier 1 Remedial Unit Cost</v>
      </c>
      <c r="Q59" s="29" t="str">
        <f>IF(Q58=Data!N$16,Data!$B$16,$C$54)</f>
        <v>Tier 1 Remedial Unit Cost</v>
      </c>
      <c r="R59" s="29" t="str">
        <f>IF(R58=Data!O$16,Data!$B$16,$C$54)</f>
        <v>Tier 1 Remedial Unit Cost</v>
      </c>
      <c r="S59" s="29" t="str">
        <f>IF(S58=Data!P$16,Data!$B$16,$C$54)</f>
        <v>Tier 1 Remedial Unit Cost</v>
      </c>
      <c r="T59" s="29" t="str">
        <f>IF(T58=Data!Q$16,Data!$B$16,$C$54)</f>
        <v>Tier 1 Remedial Unit Cost</v>
      </c>
      <c r="U59" s="29" t="str">
        <f>IF(U58=Data!R$16,Data!$B$16,$C$54)</f>
        <v>Tier 1 Remedial Unit Cost</v>
      </c>
      <c r="V59" s="29" t="str">
        <f>IF(V58=Data!S$16,Data!$B$16,$C$54)</f>
        <v>Tier 1 Remedial Unit Cost</v>
      </c>
      <c r="W59" s="29" t="str">
        <f>IF(W58=Data!T$16,Data!$B$16,$C$54)</f>
        <v>Tier 1 Remedial Unit Cost</v>
      </c>
      <c r="X59" s="29" t="str">
        <f>IF(X58=Data!U$16,Data!$B$16,$C$54)</f>
        <v>Tier 1 Remedial Unit Cost</v>
      </c>
      <c r="Y59" s="29" t="str">
        <f>IF(Y58=Data!V$16,Data!$B$16,$C$54)</f>
        <v>Tier 1 Remedial Unit Cost</v>
      </c>
      <c r="Z59" s="29" t="str">
        <f>IF(Z58=Data!W$16,Data!$B$16,$C$54)</f>
        <v>Tier 1 Remedial Unit Cost</v>
      </c>
      <c r="AA59" s="29" t="str">
        <f>IF(AA58=Data!X$16,Data!$B$16,$C$54)</f>
        <v>Tier 1 Remedial Unit Cost</v>
      </c>
      <c r="AB59" s="29" t="str">
        <f>IF(AB58=Data!Y$16,Data!$B$16,$C$54)</f>
        <v>Tier 1 Remedial Unit Cost</v>
      </c>
      <c r="AC59" s="29" t="str">
        <f>IF(AC58=Data!Z$16,Data!$B$16,$C$54)</f>
        <v>Tier 1 Remedial Unit Cost</v>
      </c>
      <c r="AD59" s="29" t="str">
        <f>IF(AD58=Data!AA$16,Data!$B$16,$C$54)</f>
        <v>Tier 1 Remedial Unit Cost</v>
      </c>
      <c r="AF59" s="75"/>
    </row>
    <row r="60" spans="2:32" x14ac:dyDescent="0.35">
      <c r="C60" s="15" t="s">
        <v>203</v>
      </c>
      <c r="D60" s="22"/>
      <c r="E60" s="22" t="s">
        <v>198</v>
      </c>
      <c r="F60" s="18" t="s">
        <v>194</v>
      </c>
      <c r="G60" s="18" t="s">
        <v>145</v>
      </c>
      <c r="H60" s="29">
        <f>IF(H59=Data!$B$16,H$17,H$54*H$14)</f>
        <v>48.758580000000016</v>
      </c>
      <c r="I60" s="29">
        <f>IF(I59=Data!$B$16,I$17,I$54*I$14)</f>
        <v>48.758580000000016</v>
      </c>
      <c r="J60" s="29">
        <f>IF(J59=Data!$B$16,J$17,J$54*J$14)</f>
        <v>48.758579999999959</v>
      </c>
      <c r="K60" s="29">
        <f>IF(K59=Data!$B$16,K$17,K$54*K$14)</f>
        <v>48.758580000000016</v>
      </c>
      <c r="L60" s="29">
        <f>IF(L59=Data!$B$16,L$17,L$54*L$14)</f>
        <v>48.758579999999959</v>
      </c>
      <c r="M60" s="29">
        <f>IF(M59=Data!$B$16,M$17,M$54*M$14)</f>
        <v>48.758579999999959</v>
      </c>
      <c r="N60" s="29">
        <f>IF(N59=Data!$B$16,N$17,N$54*N$14)</f>
        <v>48.758580000000016</v>
      </c>
      <c r="O60" s="29">
        <f>IF(O59=Data!$B$16,O$17,O$54*O$14)</f>
        <v>48.758579999999988</v>
      </c>
      <c r="P60" s="29">
        <f>IF(P59=Data!$B$16,P$17,P$54*P$14)</f>
        <v>48.758580000000016</v>
      </c>
      <c r="Q60" s="29">
        <f>IF(Q59=Data!$B$16,Q$17,Q$54*Q$14)</f>
        <v>48.758579999999988</v>
      </c>
      <c r="R60" s="29">
        <f>IF(R59=Data!$B$16,R$17,R$54*R$14)</f>
        <v>48.758579999999988</v>
      </c>
      <c r="S60" s="29">
        <f>IF(S59=Data!$B$16,S$17,S$54*S$14)</f>
        <v>48.758580000000009</v>
      </c>
      <c r="T60" s="29">
        <f>IF(T59=Data!$B$16,T$17,T$54*T$14)</f>
        <v>48.758580000000009</v>
      </c>
      <c r="U60" s="29">
        <f>IF(U59=Data!$B$16,U$17,U$54*U$14)</f>
        <v>48.758580000000009</v>
      </c>
      <c r="V60" s="29">
        <f>IF(V59=Data!$B$16,V$17,V$54*V$14)</f>
        <v>48.758580000000009</v>
      </c>
      <c r="W60" s="29">
        <f>IF(W59=Data!$B$16,W$17,W$54*W$14)</f>
        <v>48.758580000000009</v>
      </c>
      <c r="X60" s="29">
        <f>IF(X59=Data!$B$16,X$17,X$54*X$14)</f>
        <v>48.758580000000009</v>
      </c>
      <c r="Y60" s="29">
        <f>IF(Y59=Data!$B$16,Y$17,Y$54*Y$14)</f>
        <v>48.758579999999988</v>
      </c>
      <c r="Z60" s="29">
        <f>IF(Z59=Data!$B$16,Z$17,Z$54*Z$14)</f>
        <v>48.758579999999995</v>
      </c>
      <c r="AA60" s="29">
        <f>IF(AA59=Data!$B$16,AA$17,AA$54*AA$14)</f>
        <v>48.758579999999995</v>
      </c>
      <c r="AB60" s="29">
        <f>IF(AB59=Data!$B$16,AB$17,AB$54*AB$14)</f>
        <v>41.257259999999782</v>
      </c>
      <c r="AC60" s="29">
        <f>IF(AC59=Data!$B$16,AC$17,AC$54*AC$14)</f>
        <v>30.005279999999356</v>
      </c>
      <c r="AD60" s="29">
        <f>IF(AD59=Data!$B$16,AD$17,AD$54*AD$14)</f>
        <v>18.753299999998934</v>
      </c>
      <c r="AF60" s="75"/>
    </row>
    <row r="61" spans="2:32" x14ac:dyDescent="0.35">
      <c r="B61" s="81" t="s">
        <v>204</v>
      </c>
      <c r="C61" s="19" t="s">
        <v>74</v>
      </c>
      <c r="D61" s="87"/>
      <c r="E61" s="87" t="s">
        <v>205</v>
      </c>
      <c r="F61" s="88"/>
      <c r="G61" s="88" t="s">
        <v>145</v>
      </c>
      <c r="H61" s="116">
        <f>H15*Data!$E$6*1000</f>
        <v>572.49873786407636</v>
      </c>
      <c r="I61" s="116">
        <f>I15*Data!$E$6*1000</f>
        <v>556.72121359222888</v>
      </c>
      <c r="J61" s="116">
        <f>J15*Data!$E$6*1000</f>
        <v>540.94368932038833</v>
      </c>
      <c r="K61" s="116">
        <f>K15*Data!$E$6*1000</f>
        <v>540.94368932038833</v>
      </c>
      <c r="L61" s="116">
        <f>L15*Data!$E$6*1000</f>
        <v>540.94368932038833</v>
      </c>
      <c r="M61" s="116">
        <f>M15*Data!$E$6*1000</f>
        <v>540.94368932038833</v>
      </c>
      <c r="N61" s="116">
        <f>N15*Data!$E$6*1000</f>
        <v>540.94368932038833</v>
      </c>
      <c r="O61" s="116">
        <f>O15*Data!$E$6*1000</f>
        <v>540.94368932038833</v>
      </c>
      <c r="P61" s="116">
        <f>P15*Data!$E$6*1000</f>
        <v>540.94368932038833</v>
      </c>
      <c r="Q61" s="116">
        <f>Q15*Data!$E$6*1000</f>
        <v>540.94368932038833</v>
      </c>
      <c r="R61" s="116">
        <f>R15*Data!$E$6*1000</f>
        <v>540.94368932038833</v>
      </c>
      <c r="S61" s="116">
        <f>S15*Data!$E$6*1000</f>
        <v>540.94368932038833</v>
      </c>
      <c r="T61" s="116">
        <f>T15*Data!$E$6*1000</f>
        <v>540.94368932038833</v>
      </c>
      <c r="U61" s="116">
        <f>U15*Data!$E$6*1000</f>
        <v>540.94368932038833</v>
      </c>
      <c r="V61" s="116">
        <f>V15*Data!$E$6*1000</f>
        <v>540.94368932038833</v>
      </c>
      <c r="W61" s="116">
        <f>W15*Data!$E$6*1000</f>
        <v>540.94368932038833</v>
      </c>
      <c r="X61" s="116">
        <f>X15*Data!$E$6*1000</f>
        <v>540.94368932038833</v>
      </c>
      <c r="Y61" s="116">
        <f>Y15*Data!$E$6*1000</f>
        <v>540.94368932038833</v>
      </c>
      <c r="Z61" s="116">
        <f>Z15*Data!$E$6*1000</f>
        <v>540.94368932038833</v>
      </c>
      <c r="AA61" s="116">
        <f>AA15*Data!$E$6*1000</f>
        <v>540.94368932038833</v>
      </c>
      <c r="AB61" s="116">
        <f>AB15*Data!$E$6*1000</f>
        <v>540.94368932038833</v>
      </c>
      <c r="AC61" s="116">
        <f>AC15*Data!$E$6*1000</f>
        <v>540.94368932038833</v>
      </c>
      <c r="AD61" s="116">
        <f>AD15*Data!$E$6*1000</f>
        <v>540.94368932038833</v>
      </c>
    </row>
    <row r="62" spans="2:32" x14ac:dyDescent="0.35">
      <c r="C62" s="19" t="s">
        <v>79</v>
      </c>
      <c r="D62" s="87"/>
      <c r="E62" s="87" t="s">
        <v>206</v>
      </c>
      <c r="F62" s="88"/>
      <c r="G62" s="88" t="s">
        <v>145</v>
      </c>
      <c r="H62" s="116">
        <f t="shared" ref="H62:AD62" si="13">H57</f>
        <v>65.290028413217698</v>
      </c>
      <c r="I62" s="116">
        <f t="shared" si="13"/>
        <v>92.745613632003682</v>
      </c>
      <c r="J62" s="116">
        <f t="shared" si="13"/>
        <v>123.66278227700734</v>
      </c>
      <c r="K62" s="116">
        <f t="shared" si="13"/>
        <v>186.16936566463696</v>
      </c>
      <c r="L62" s="116">
        <f t="shared" si="13"/>
        <v>254.97540539033372</v>
      </c>
      <c r="M62" s="116">
        <f t="shared" si="13"/>
        <v>330.08090145409727</v>
      </c>
      <c r="N62" s="116">
        <f t="shared" si="13"/>
        <v>400.42841316000016</v>
      </c>
      <c r="O62" s="116">
        <f t="shared" si="13"/>
        <v>463.13944836001639</v>
      </c>
      <c r="P62" s="116">
        <f t="shared" si="13"/>
        <v>562.90700436000657</v>
      </c>
      <c r="Q62" s="116">
        <f t="shared" si="13"/>
        <v>662.6745603599968</v>
      </c>
      <c r="R62" s="116">
        <f t="shared" si="13"/>
        <v>762.44211636002774</v>
      </c>
      <c r="S62" s="116">
        <f t="shared" si="13"/>
        <v>862.20967236001786</v>
      </c>
      <c r="T62" s="116">
        <f t="shared" si="13"/>
        <v>961.97722836000821</v>
      </c>
      <c r="U62" s="116">
        <f t="shared" si="13"/>
        <v>1004.7347523599997</v>
      </c>
      <c r="V62" s="116">
        <f t="shared" si="13"/>
        <v>1047.4922763600014</v>
      </c>
      <c r="W62" s="116">
        <f t="shared" si="13"/>
        <v>1090.2498003600031</v>
      </c>
      <c r="X62" s="116">
        <f t="shared" si="13"/>
        <v>1133.0073243600045</v>
      </c>
      <c r="Y62" s="116">
        <f t="shared" si="13"/>
        <v>1175.764848359996</v>
      </c>
      <c r="Z62" s="116">
        <f t="shared" si="13"/>
        <v>1218.5223723599975</v>
      </c>
      <c r="AA62" s="116">
        <f t="shared" si="13"/>
        <v>1261.2798963599992</v>
      </c>
      <c r="AB62" s="116">
        <f t="shared" si="13"/>
        <v>1304.0374203600009</v>
      </c>
      <c r="AC62" s="116">
        <f t="shared" si="13"/>
        <v>1346.7949443600025</v>
      </c>
      <c r="AD62" s="116">
        <f t="shared" si="13"/>
        <v>1389.552468360004</v>
      </c>
    </row>
    <row r="63" spans="2:32" ht="15" thickBot="1" x14ac:dyDescent="0.4">
      <c r="C63" s="89" t="s">
        <v>83</v>
      </c>
      <c r="D63" s="90"/>
      <c r="E63" s="90" t="s">
        <v>206</v>
      </c>
      <c r="F63" s="91"/>
      <c r="G63" s="91" t="s">
        <v>145</v>
      </c>
      <c r="H63" s="117">
        <f t="shared" ref="H63:AD63" si="14">H60</f>
        <v>48.758580000000016</v>
      </c>
      <c r="I63" s="117">
        <f t="shared" si="14"/>
        <v>48.758580000000016</v>
      </c>
      <c r="J63" s="117">
        <f t="shared" si="14"/>
        <v>48.758579999999959</v>
      </c>
      <c r="K63" s="117">
        <f t="shared" si="14"/>
        <v>48.758580000000016</v>
      </c>
      <c r="L63" s="117">
        <f t="shared" si="14"/>
        <v>48.758579999999959</v>
      </c>
      <c r="M63" s="117">
        <f t="shared" si="14"/>
        <v>48.758579999999959</v>
      </c>
      <c r="N63" s="117">
        <f t="shared" si="14"/>
        <v>48.758580000000016</v>
      </c>
      <c r="O63" s="117">
        <f t="shared" si="14"/>
        <v>48.758579999999988</v>
      </c>
      <c r="P63" s="117">
        <f t="shared" si="14"/>
        <v>48.758580000000016</v>
      </c>
      <c r="Q63" s="117">
        <f t="shared" si="14"/>
        <v>48.758579999999988</v>
      </c>
      <c r="R63" s="117">
        <f t="shared" si="14"/>
        <v>48.758579999999988</v>
      </c>
      <c r="S63" s="117">
        <f t="shared" si="14"/>
        <v>48.758580000000009</v>
      </c>
      <c r="T63" s="117">
        <f t="shared" si="14"/>
        <v>48.758580000000009</v>
      </c>
      <c r="U63" s="117">
        <f t="shared" si="14"/>
        <v>48.758580000000009</v>
      </c>
      <c r="V63" s="117">
        <f t="shared" si="14"/>
        <v>48.758580000000009</v>
      </c>
      <c r="W63" s="117">
        <f t="shared" si="14"/>
        <v>48.758580000000009</v>
      </c>
      <c r="X63" s="117">
        <f t="shared" si="14"/>
        <v>48.758580000000009</v>
      </c>
      <c r="Y63" s="117">
        <f t="shared" si="14"/>
        <v>48.758579999999988</v>
      </c>
      <c r="Z63" s="117">
        <f t="shared" si="14"/>
        <v>48.758579999999995</v>
      </c>
      <c r="AA63" s="117">
        <f t="shared" si="14"/>
        <v>48.758579999999995</v>
      </c>
      <c r="AB63" s="117">
        <f t="shared" si="14"/>
        <v>41.257259999999782</v>
      </c>
      <c r="AC63" s="117">
        <f t="shared" si="14"/>
        <v>30.005279999999356</v>
      </c>
      <c r="AD63" s="117">
        <f t="shared" si="14"/>
        <v>18.753299999998934</v>
      </c>
    </row>
    <row r="64" spans="2:32" ht="15" thickTop="1" x14ac:dyDescent="0.35">
      <c r="C64" s="19" t="s">
        <v>89</v>
      </c>
      <c r="D64" s="87"/>
      <c r="E64" s="87"/>
      <c r="F64" s="88" t="s">
        <v>207</v>
      </c>
      <c r="G64" s="88" t="s">
        <v>145</v>
      </c>
      <c r="H64" s="116">
        <f t="shared" ref="H64:AD64" si="15">SUM(H61:H63)</f>
        <v>686.54734627729408</v>
      </c>
      <c r="I64" s="116">
        <f t="shared" si="15"/>
        <v>698.22540722423264</v>
      </c>
      <c r="J64" s="116">
        <f t="shared" si="15"/>
        <v>713.36505159739556</v>
      </c>
      <c r="K64" s="116">
        <f t="shared" si="15"/>
        <v>775.87163498502537</v>
      </c>
      <c r="L64" s="116">
        <f t="shared" si="15"/>
        <v>844.67767471072193</v>
      </c>
      <c r="M64" s="116">
        <f t="shared" si="15"/>
        <v>919.7831707744856</v>
      </c>
      <c r="N64" s="116">
        <f t="shared" si="15"/>
        <v>990.1306824803886</v>
      </c>
      <c r="O64" s="116">
        <f t="shared" si="15"/>
        <v>1052.8417176804046</v>
      </c>
      <c r="P64" s="116">
        <f t="shared" si="15"/>
        <v>1152.6092736803948</v>
      </c>
      <c r="Q64" s="116">
        <f t="shared" si="15"/>
        <v>1252.3768296803851</v>
      </c>
      <c r="R64" s="116">
        <f t="shared" si="15"/>
        <v>1352.144385680416</v>
      </c>
      <c r="S64" s="116">
        <f t="shared" si="15"/>
        <v>1451.9119416804062</v>
      </c>
      <c r="T64" s="116">
        <f t="shared" si="15"/>
        <v>1551.6794976803965</v>
      </c>
      <c r="U64" s="116">
        <f t="shared" si="15"/>
        <v>1594.4370216803879</v>
      </c>
      <c r="V64" s="116">
        <f t="shared" si="15"/>
        <v>1637.1945456803896</v>
      </c>
      <c r="W64" s="116">
        <f t="shared" si="15"/>
        <v>1679.9520696803913</v>
      </c>
      <c r="X64" s="116">
        <f t="shared" si="15"/>
        <v>1722.7095936803928</v>
      </c>
      <c r="Y64" s="116">
        <f t="shared" si="15"/>
        <v>1765.4671176803843</v>
      </c>
      <c r="Z64" s="116">
        <f t="shared" si="15"/>
        <v>1808.2246416803857</v>
      </c>
      <c r="AA64" s="116">
        <f t="shared" si="15"/>
        <v>1850.9821656803874</v>
      </c>
      <c r="AB64" s="116">
        <f t="shared" si="15"/>
        <v>1886.238369680389</v>
      </c>
      <c r="AC64" s="116">
        <f t="shared" si="15"/>
        <v>1917.7439136803903</v>
      </c>
      <c r="AD64" s="116">
        <f t="shared" si="15"/>
        <v>1949.2494576803913</v>
      </c>
    </row>
    <row r="65" spans="2:30" x14ac:dyDescent="0.35">
      <c r="H65" s="116"/>
      <c r="I65" s="116"/>
      <c r="J65" s="116"/>
    </row>
    <row r="67" spans="2:30" x14ac:dyDescent="0.35">
      <c r="C67" s="19" t="s">
        <v>208</v>
      </c>
      <c r="D67" s="22"/>
      <c r="E67" s="22"/>
      <c r="F67" s="18"/>
      <c r="G67" s="18"/>
    </row>
    <row r="68" spans="2:30" x14ac:dyDescent="0.35">
      <c r="C68" s="38" t="s">
        <v>111</v>
      </c>
      <c r="D68" s="78" t="s">
        <v>112</v>
      </c>
      <c r="E68" s="78" t="s">
        <v>72</v>
      </c>
      <c r="F68" s="78" t="s">
        <v>99</v>
      </c>
      <c r="G68" s="31" t="s">
        <v>100</v>
      </c>
      <c r="H68" s="111">
        <v>2028</v>
      </c>
      <c r="I68" s="111">
        <v>2029</v>
      </c>
      <c r="J68" s="111">
        <v>2030</v>
      </c>
      <c r="K68" s="111">
        <v>2031</v>
      </c>
      <c r="L68" s="111">
        <v>2032</v>
      </c>
      <c r="M68" s="111">
        <v>2033</v>
      </c>
      <c r="N68" s="111">
        <v>2034</v>
      </c>
      <c r="O68" s="111">
        <v>2035</v>
      </c>
      <c r="P68" s="110">
        <v>2036</v>
      </c>
      <c r="Q68" s="110">
        <v>2037</v>
      </c>
      <c r="R68" s="111">
        <v>2038</v>
      </c>
      <c r="S68" s="111">
        <v>2039</v>
      </c>
      <c r="T68" s="111">
        <v>2040</v>
      </c>
      <c r="U68" s="111">
        <v>2041</v>
      </c>
      <c r="V68" s="111">
        <v>2042</v>
      </c>
      <c r="W68" s="111">
        <v>2043</v>
      </c>
      <c r="X68" s="111">
        <v>2044</v>
      </c>
      <c r="Y68" s="111">
        <v>2045</v>
      </c>
      <c r="Z68" s="110">
        <v>2046</v>
      </c>
      <c r="AA68" s="110">
        <v>2047</v>
      </c>
      <c r="AB68" s="111">
        <v>2048</v>
      </c>
      <c r="AC68" s="111">
        <v>2049</v>
      </c>
      <c r="AD68" s="111">
        <v>2050</v>
      </c>
    </row>
    <row r="69" spans="2:30" x14ac:dyDescent="0.35">
      <c r="C69" s="15" t="s">
        <v>209</v>
      </c>
      <c r="D69" s="22"/>
      <c r="E69" s="22" t="s">
        <v>210</v>
      </c>
      <c r="F69" s="18" t="s">
        <v>184</v>
      </c>
      <c r="G69" s="18" t="s">
        <v>126</v>
      </c>
      <c r="H69" s="29">
        <f>H$33-H$23</f>
        <v>24.219613423269728</v>
      </c>
      <c r="I69" s="29">
        <f t="shared" ref="I69:AD69" si="16">I$33-I$23</f>
        <v>25.880459234841922</v>
      </c>
      <c r="J69" s="29">
        <f t="shared" si="16"/>
        <v>27.530764959114798</v>
      </c>
      <c r="K69" s="29">
        <f t="shared" si="16"/>
        <v>28.274231477428991</v>
      </c>
      <c r="L69" s="29">
        <f t="shared" si="16"/>
        <v>29.007403680275615</v>
      </c>
      <c r="M69" s="29">
        <f t="shared" si="16"/>
        <v>29.732233730912881</v>
      </c>
      <c r="N69" s="29">
        <f t="shared" si="16"/>
        <v>30.444789099220309</v>
      </c>
      <c r="O69" s="29">
        <f t="shared" si="16"/>
        <v>31.147050152060153</v>
      </c>
      <c r="P69" s="29">
        <f t="shared" si="16"/>
        <v>32.052700642481767</v>
      </c>
      <c r="Q69" s="29">
        <f t="shared" si="16"/>
        <v>32.948272845131157</v>
      </c>
      <c r="R69" s="29">
        <f t="shared" si="16"/>
        <v>33.829007726167099</v>
      </c>
      <c r="S69" s="29">
        <f t="shared" si="16"/>
        <v>34.697301844650696</v>
      </c>
      <c r="T69" s="29">
        <f t="shared" si="16"/>
        <v>35.553155200581955</v>
      </c>
      <c r="U69" s="29">
        <f t="shared" si="16"/>
        <v>36.611771449655208</v>
      </c>
      <c r="V69" s="29">
        <f t="shared" si="16"/>
        <v>37.653057549812772</v>
      </c>
      <c r="W69" s="29">
        <f t="shared" si="16"/>
        <v>38.679860211886421</v>
      </c>
      <c r="X69" s="29">
        <f t="shared" si="16"/>
        <v>39.692179435876163</v>
      </c>
      <c r="Y69" s="29">
        <f t="shared" si="16"/>
        <v>40.692663420638233</v>
      </c>
      <c r="Z69" s="29">
        <f t="shared" si="16"/>
        <v>41.944523038100193</v>
      </c>
      <c r="AA69" s="29">
        <f t="shared" si="16"/>
        <v>43.179262222820526</v>
      </c>
      <c r="AB69" s="29">
        <f t="shared" si="16"/>
        <v>44.396880974799267</v>
      </c>
      <c r="AC69" s="29">
        <f t="shared" si="16"/>
        <v>45.600587796991711</v>
      </c>
      <c r="AD69" s="29">
        <f t="shared" si="16"/>
        <v>46.78391877819201</v>
      </c>
    </row>
    <row r="70" spans="2:30" x14ac:dyDescent="0.35">
      <c r="C70" s="15" t="s">
        <v>211</v>
      </c>
      <c r="D70" s="22"/>
      <c r="E70" s="22"/>
      <c r="F70" s="18" t="s">
        <v>186</v>
      </c>
      <c r="G70" s="18" t="s">
        <v>187</v>
      </c>
      <c r="H70" s="29">
        <f>H$19-H$31</f>
        <v>5.654911E-2</v>
      </c>
      <c r="I70" s="29">
        <f t="shared" ref="I70:AD70" si="17">I$19-I$31</f>
        <v>5.654911E-2</v>
      </c>
      <c r="J70" s="29">
        <f t="shared" si="17"/>
        <v>5.654911E-2</v>
      </c>
      <c r="K70" s="29">
        <f t="shared" si="17"/>
        <v>5.654911E-2</v>
      </c>
      <c r="L70" s="29">
        <f t="shared" si="17"/>
        <v>5.654911E-2</v>
      </c>
      <c r="M70" s="29">
        <f t="shared" si="17"/>
        <v>5.654911E-2</v>
      </c>
      <c r="N70" s="29">
        <f t="shared" si="17"/>
        <v>5.654911E-2</v>
      </c>
      <c r="O70" s="29">
        <f t="shared" si="17"/>
        <v>5.654911E-2</v>
      </c>
      <c r="P70" s="29">
        <f t="shared" si="17"/>
        <v>5.654911E-2</v>
      </c>
      <c r="Q70" s="29">
        <f t="shared" si="17"/>
        <v>5.654911E-2</v>
      </c>
      <c r="R70" s="29">
        <f t="shared" si="17"/>
        <v>5.654911E-2</v>
      </c>
      <c r="S70" s="29">
        <f t="shared" si="17"/>
        <v>5.654911E-2</v>
      </c>
      <c r="T70" s="29">
        <f t="shared" si="17"/>
        <v>5.654911E-2</v>
      </c>
      <c r="U70" s="29">
        <f t="shared" si="17"/>
        <v>5.654911E-2</v>
      </c>
      <c r="V70" s="29">
        <f t="shared" si="17"/>
        <v>5.654911E-2</v>
      </c>
      <c r="W70" s="29">
        <f t="shared" si="17"/>
        <v>5.654911E-2</v>
      </c>
      <c r="X70" s="29">
        <f t="shared" si="17"/>
        <v>5.654911E-2</v>
      </c>
      <c r="Y70" s="29">
        <f t="shared" si="17"/>
        <v>5.654911E-2</v>
      </c>
      <c r="Z70" s="29">
        <f t="shared" si="17"/>
        <v>5.654911E-2</v>
      </c>
      <c r="AA70" s="29">
        <f t="shared" si="17"/>
        <v>5.654911E-2</v>
      </c>
      <c r="AB70" s="29">
        <f t="shared" si="17"/>
        <v>5.654911E-2</v>
      </c>
      <c r="AC70" s="29">
        <f t="shared" si="17"/>
        <v>5.654911E-2</v>
      </c>
      <c r="AD70" s="29">
        <f t="shared" si="17"/>
        <v>5.654911E-2</v>
      </c>
    </row>
    <row r="71" spans="2:30" x14ac:dyDescent="0.35">
      <c r="B71" s="86" t="s">
        <v>188</v>
      </c>
      <c r="C71" s="15" t="s">
        <v>212</v>
      </c>
      <c r="D71" s="22"/>
      <c r="E71" s="22" t="s">
        <v>190</v>
      </c>
      <c r="F71" s="18" t="s">
        <v>191</v>
      </c>
      <c r="G71" s="18" t="s">
        <v>171</v>
      </c>
      <c r="H71" s="29">
        <f>H69/H70</f>
        <v>428.29345012272921</v>
      </c>
      <c r="I71" s="29">
        <f t="shared" ref="I71:AD71" si="18">I69/I70</f>
        <v>457.66342272834925</v>
      </c>
      <c r="J71" s="29">
        <f t="shared" si="18"/>
        <v>486.84700712557276</v>
      </c>
      <c r="K71" s="29">
        <f t="shared" si="18"/>
        <v>499.99427890958833</v>
      </c>
      <c r="L71" s="29">
        <f t="shared" si="18"/>
        <v>512.95950865142913</v>
      </c>
      <c r="M71" s="29">
        <f t="shared" si="18"/>
        <v>525.77721790692874</v>
      </c>
      <c r="N71" s="29">
        <f t="shared" si="18"/>
        <v>538.37786481909814</v>
      </c>
      <c r="O71" s="29">
        <f t="shared" si="18"/>
        <v>550.79646968909242</v>
      </c>
      <c r="P71" s="29">
        <f t="shared" si="18"/>
        <v>566.81176136073168</v>
      </c>
      <c r="Q71" s="29">
        <f t="shared" si="18"/>
        <v>582.64883116871613</v>
      </c>
      <c r="R71" s="29">
        <f t="shared" si="18"/>
        <v>598.22352157561988</v>
      </c>
      <c r="S71" s="29">
        <f t="shared" si="18"/>
        <v>613.57821271901003</v>
      </c>
      <c r="T71" s="29">
        <f t="shared" si="18"/>
        <v>628.71290459888678</v>
      </c>
      <c r="U71" s="29">
        <f t="shared" si="18"/>
        <v>647.43320362876102</v>
      </c>
      <c r="V71" s="29">
        <f t="shared" si="18"/>
        <v>665.84704073702972</v>
      </c>
      <c r="W71" s="29">
        <f t="shared" si="18"/>
        <v>684.00475643005564</v>
      </c>
      <c r="X71" s="29">
        <f t="shared" si="18"/>
        <v>701.90635070783901</v>
      </c>
      <c r="Y71" s="29">
        <f t="shared" si="18"/>
        <v>719.59865364173254</v>
      </c>
      <c r="Z71" s="29">
        <f t="shared" si="18"/>
        <v>741.73621898028443</v>
      </c>
      <c r="AA71" s="29">
        <f t="shared" si="18"/>
        <v>763.57103096442233</v>
      </c>
      <c r="AB71" s="29">
        <f t="shared" si="18"/>
        <v>785.10308959414692</v>
      </c>
      <c r="AC71" s="29">
        <f t="shared" si="18"/>
        <v>806.38913321521261</v>
      </c>
      <c r="AD71" s="29">
        <f t="shared" si="18"/>
        <v>827.31485567486402</v>
      </c>
    </row>
    <row r="72" spans="2:30" x14ac:dyDescent="0.35">
      <c r="C72" s="15" t="s">
        <v>192</v>
      </c>
      <c r="D72" s="22"/>
      <c r="E72" s="22" t="s">
        <v>193</v>
      </c>
      <c r="F72" s="18" t="s">
        <v>194</v>
      </c>
      <c r="G72" s="18" t="s">
        <v>177</v>
      </c>
      <c r="H72" s="29">
        <f>MIN(H71,Data!E$15)</f>
        <v>380</v>
      </c>
      <c r="I72" s="29">
        <f>MIN(I71,Data!F$15)</f>
        <v>380</v>
      </c>
      <c r="J72" s="29">
        <f>MIN(J71,Data!G$15)</f>
        <v>380</v>
      </c>
      <c r="K72" s="29">
        <f>MIN(K71,Data!H$15)</f>
        <v>380</v>
      </c>
      <c r="L72" s="29">
        <f>MIN(L71,Data!I$15)</f>
        <v>380</v>
      </c>
      <c r="M72" s="29">
        <f>MIN(M71,Data!J$15)</f>
        <v>380</v>
      </c>
      <c r="N72" s="29">
        <f>MIN(N71,Data!K$15)</f>
        <v>380</v>
      </c>
      <c r="O72" s="29">
        <f>MIN(O71,Data!L$15)</f>
        <v>380</v>
      </c>
      <c r="P72" s="29">
        <f>MIN(P71,Data!M$15)</f>
        <v>380</v>
      </c>
      <c r="Q72" s="29">
        <f>MIN(Q71,Data!N$15)</f>
        <v>380</v>
      </c>
      <c r="R72" s="29">
        <f>MIN(R71,Data!O$15)</f>
        <v>380</v>
      </c>
      <c r="S72" s="29">
        <f>MIN(S71,Data!P$15)</f>
        <v>380</v>
      </c>
      <c r="T72" s="29">
        <f>MIN(T71,Data!Q$15)</f>
        <v>380</v>
      </c>
      <c r="U72" s="29">
        <f>MIN(U71,Data!R$15)</f>
        <v>380</v>
      </c>
      <c r="V72" s="29">
        <f>MIN(V71,Data!S$15)</f>
        <v>380</v>
      </c>
      <c r="W72" s="29">
        <f>MIN(W71,Data!T$15)</f>
        <v>380</v>
      </c>
      <c r="X72" s="29">
        <f>MIN(X71,Data!U$15)</f>
        <v>380</v>
      </c>
      <c r="Y72" s="29">
        <f>MIN(Y71,Data!V$15)</f>
        <v>380</v>
      </c>
      <c r="Z72" s="29">
        <f>MIN(Z71,Data!W$15)</f>
        <v>380</v>
      </c>
      <c r="AA72" s="29">
        <f>MIN(AA71,Data!X$15)</f>
        <v>380</v>
      </c>
      <c r="AB72" s="29">
        <f>MIN(AB71,Data!Y$15)</f>
        <v>380</v>
      </c>
      <c r="AC72" s="29">
        <f>MIN(AC71,Data!Z$15)</f>
        <v>380</v>
      </c>
      <c r="AD72" s="29">
        <f>MIN(AD71,Data!AA$15)</f>
        <v>380</v>
      </c>
    </row>
    <row r="73" spans="2:30" x14ac:dyDescent="0.35">
      <c r="C73" s="15" t="s">
        <v>195</v>
      </c>
      <c r="D73" s="22"/>
      <c r="E73" s="22" t="s">
        <v>196</v>
      </c>
      <c r="F73" s="18" t="s">
        <v>194</v>
      </c>
      <c r="G73" s="18"/>
      <c r="H73" s="29" t="str">
        <f>IF(H72=Data!E$15,Data!$B$15,$C71)</f>
        <v>Tier 2 Remedial Unit Cost</v>
      </c>
      <c r="I73" s="29" t="str">
        <f>IF(I72=Data!F$15,Data!$B$15,$C71)</f>
        <v>Tier 2 Remedial Unit Cost</v>
      </c>
      <c r="J73" s="29" t="str">
        <f>IF(J72=Data!G$15,Data!$B$15,$C71)</f>
        <v>Tier 2 Remedial Unit Cost</v>
      </c>
      <c r="K73" s="29" t="str">
        <f>IF(K72=Data!H$15,Data!$B$15,$C71)</f>
        <v>Tier 2 Remedial Unit Cost</v>
      </c>
      <c r="L73" s="29" t="str">
        <f>IF(L72=Data!I$15,Data!$B$15,$C71)</f>
        <v>Tier 2 Remedial Unit Cost</v>
      </c>
      <c r="M73" s="29" t="str">
        <f>IF(M72=Data!J$15,Data!$B$15,$C71)</f>
        <v>Tier 2 Remedial Unit Cost</v>
      </c>
      <c r="N73" s="29" t="str">
        <f>IF(N72=Data!K$15,Data!$B$15,$C71)</f>
        <v>Tier 2 Remedial Unit Cost</v>
      </c>
      <c r="O73" s="29" t="str">
        <f>IF(O72=Data!L$15,Data!$B$15,$C71)</f>
        <v>Tier 2 Remedial Unit Cost</v>
      </c>
      <c r="P73" s="29" t="str">
        <f>IF(P72=Data!M$15,Data!$B$15,$C71)</f>
        <v>Tier 2 Remedial Unit Cost</v>
      </c>
      <c r="Q73" s="29" t="str">
        <f>IF(Q72=Data!N$15,Data!$B$15,$C71)</f>
        <v>Tier 2 Remedial Unit Cost</v>
      </c>
      <c r="R73" s="29" t="str">
        <f>IF(R72=Data!O$15,Data!$B$15,$C71)</f>
        <v>Tier 2 Remedial Unit Cost</v>
      </c>
      <c r="S73" s="29" t="str">
        <f>IF(S72=Data!P$15,Data!$B$15,$C71)</f>
        <v>Tier 2 Remedial Unit Cost</v>
      </c>
      <c r="T73" s="29" t="str">
        <f>IF(T72=Data!Q$15,Data!$B$15,$C71)</f>
        <v>Tier 2 Remedial Unit Cost</v>
      </c>
      <c r="U73" s="29" t="str">
        <f>IF(U72=Data!R$15,Data!$B$15,$C71)</f>
        <v>Tier 2 Remedial Unit Cost</v>
      </c>
      <c r="V73" s="29" t="str">
        <f>IF(V72=Data!S$15,Data!$B$15,$C71)</f>
        <v>Tier 2 Remedial Unit Cost</v>
      </c>
      <c r="W73" s="29" t="str">
        <f>IF(W72=Data!T$15,Data!$B$15,$C71)</f>
        <v>Tier 2 Remedial Unit Cost</v>
      </c>
      <c r="X73" s="29" t="str">
        <f>IF(X72=Data!U$15,Data!$B$15,$C71)</f>
        <v>Tier 2 Remedial Unit Cost</v>
      </c>
      <c r="Y73" s="29" t="str">
        <f>IF(Y72=Data!V$15,Data!$B$15,$C71)</f>
        <v>Tier 2 Remedial Unit Cost</v>
      </c>
      <c r="Z73" s="29" t="str">
        <f>IF(Z72=Data!W$15,Data!$B$15,$C71)</f>
        <v>Tier 2 Remedial Unit Cost</v>
      </c>
      <c r="AA73" s="29" t="str">
        <f>IF(AA72=Data!X$15,Data!$B$15,$C71)</f>
        <v>Tier 2 Remedial Unit Cost</v>
      </c>
      <c r="AB73" s="29" t="str">
        <f>IF(AB72=Data!Y$15,Data!$B$15,$C71)</f>
        <v>Tier 2 Remedial Unit Cost</v>
      </c>
      <c r="AC73" s="29" t="str">
        <f>IF(AC72=Data!Z$15,Data!$B$15,$C71)</f>
        <v>Tier 2 Remedial Unit Cost</v>
      </c>
      <c r="AD73" s="29" t="str">
        <f>IF(AD72=Data!AA$15,Data!$B$15,$C71)</f>
        <v>Tier 2 Remedial Unit Cost</v>
      </c>
    </row>
    <row r="74" spans="2:30" x14ac:dyDescent="0.35">
      <c r="C74" s="15" t="s">
        <v>197</v>
      </c>
      <c r="D74" s="22"/>
      <c r="E74" s="22" t="s">
        <v>198</v>
      </c>
      <c r="F74" s="18" t="s">
        <v>199</v>
      </c>
      <c r="G74" s="18" t="s">
        <v>145</v>
      </c>
      <c r="H74" s="29">
        <f>IF(H73=Data!$B$15,H$24,H$71*H$20)</f>
        <v>0</v>
      </c>
      <c r="I74" s="29">
        <f>IF(I73=Data!$B$15,I$24,I$71*I$20)</f>
        <v>0</v>
      </c>
      <c r="J74" s="29">
        <f>IF(J73=Data!$B$15,J$24,J$71*J$20)</f>
        <v>0</v>
      </c>
      <c r="K74" s="29">
        <f>IF(K73=Data!$B$15,K$24,K$71*K$20)</f>
        <v>0</v>
      </c>
      <c r="L74" s="29">
        <f>IF(L73=Data!$B$15,L$24,L$71*L$20)</f>
        <v>0</v>
      </c>
      <c r="M74" s="29">
        <f>IF(M73=Data!$B$15,M$24,M$71*M$20)</f>
        <v>55.734027720000043</v>
      </c>
      <c r="N74" s="29">
        <f>IF(N73=Data!$B$15,N$24,N$71*N$20)</f>
        <v>118.44506292</v>
      </c>
      <c r="O74" s="29">
        <f>IF(O73=Data!$B$15,O$24,O$71*O$20)</f>
        <v>181.15609812001622</v>
      </c>
      <c r="P74" s="29">
        <f>IF(P73=Data!$B$15,P$24,P$71*P$20)</f>
        <v>280.9236541200064</v>
      </c>
      <c r="Q74" s="29">
        <f>IF(Q73=Data!$B$15,Q$24,Q$71*Q$20)</f>
        <v>380.69121011999675</v>
      </c>
      <c r="R74" s="29">
        <f>IF(R73=Data!$B$15,R$24,R$71*R$20)</f>
        <v>480.45876612002758</v>
      </c>
      <c r="S74" s="29">
        <f>IF(S73=Data!$B$15,S$24,S$71*S$20)</f>
        <v>580.22632212001781</v>
      </c>
      <c r="T74" s="29">
        <f>IF(T73=Data!$B$15,T$24,T$71*T$20)</f>
        <v>679.99387812000816</v>
      </c>
      <c r="U74" s="29">
        <f>IF(U73=Data!$B$15,U$24,U$71*U$20)</f>
        <v>722.75140211999963</v>
      </c>
      <c r="V74" s="29">
        <f>IF(V73=Data!$B$15,V$24,V$71*V$20)</f>
        <v>765.50892612000121</v>
      </c>
      <c r="W74" s="29">
        <f>IF(W73=Data!$B$15,W$24,W$71*W$20)</f>
        <v>808.2664501200029</v>
      </c>
      <c r="X74" s="29">
        <f>IF(X73=Data!$B$15,X$24,X$71*X$20)</f>
        <v>851.02397412000448</v>
      </c>
      <c r="Y74" s="29">
        <f>IF(Y73=Data!$B$15,Y$24,Y$71*Y$20)</f>
        <v>893.78149811999583</v>
      </c>
      <c r="Z74" s="29">
        <f>IF(Z73=Data!$B$15,Z$24,Z$71*Z$20)</f>
        <v>936.53902211999741</v>
      </c>
      <c r="AA74" s="29">
        <f>IF(AA73=Data!$B$15,AA$24,AA$71*AA$20)</f>
        <v>979.29654611999911</v>
      </c>
      <c r="AB74" s="29">
        <f>IF(AB73=Data!$B$15,AB$24,AB$71*AB$20)</f>
        <v>1022.0540701200007</v>
      </c>
      <c r="AC74" s="29">
        <f>IF(AC73=Data!$B$15,AC$24,AC$71*AC$20)</f>
        <v>1064.8115941200024</v>
      </c>
      <c r="AD74" s="29">
        <f>IF(AD73=Data!$B$15,AD$24,AD$71*AD$20)</f>
        <v>1107.5691181200038</v>
      </c>
    </row>
    <row r="75" spans="2:30" x14ac:dyDescent="0.35">
      <c r="B75" s="86" t="s">
        <v>200</v>
      </c>
      <c r="C75" s="15" t="s">
        <v>192</v>
      </c>
      <c r="D75" s="22"/>
      <c r="E75" s="22" t="s">
        <v>193</v>
      </c>
      <c r="F75" s="18" t="s">
        <v>194</v>
      </c>
      <c r="G75" s="18" t="s">
        <v>177</v>
      </c>
      <c r="H75" s="29">
        <f>MIN(Data!E$16,H72)</f>
        <v>100</v>
      </c>
      <c r="I75" s="29">
        <f>MIN(Data!F$16,I72)</f>
        <v>100</v>
      </c>
      <c r="J75" s="29">
        <f>MIN(Data!G$16,J72)</f>
        <v>100</v>
      </c>
      <c r="K75" s="29">
        <f>MIN(Data!H$16,K72)</f>
        <v>100</v>
      </c>
      <c r="L75" s="29">
        <f>MIN(Data!I$16,L72)</f>
        <v>100</v>
      </c>
      <c r="M75" s="29">
        <f>MIN(Data!J$16,M72)</f>
        <v>100</v>
      </c>
      <c r="N75" s="29">
        <f>MIN(Data!K$16,N72)</f>
        <v>100</v>
      </c>
      <c r="O75" s="29">
        <f>MIN(Data!L$16,O72)</f>
        <v>100</v>
      </c>
      <c r="P75" s="29">
        <f>MIN(Data!M$16,P72)</f>
        <v>100</v>
      </c>
      <c r="Q75" s="29">
        <f>MIN(Data!N$16,Q72)</f>
        <v>100</v>
      </c>
      <c r="R75" s="29">
        <f>MIN(Data!O$16,R72)</f>
        <v>100</v>
      </c>
      <c r="S75" s="29">
        <f>MIN(Data!P$16,S72)</f>
        <v>100</v>
      </c>
      <c r="T75" s="29">
        <f>MIN(Data!Q$16,T72)</f>
        <v>100</v>
      </c>
      <c r="U75" s="29">
        <f>MIN(Data!R$16,U72)</f>
        <v>100</v>
      </c>
      <c r="V75" s="29">
        <f>MIN(Data!S$16,V72)</f>
        <v>100</v>
      </c>
      <c r="W75" s="29">
        <f>MIN(Data!T$16,W72)</f>
        <v>100</v>
      </c>
      <c r="X75" s="29">
        <f>MIN(Data!U$16,X72)</f>
        <v>100</v>
      </c>
      <c r="Y75" s="29">
        <f>MIN(Data!V$16,Y72)</f>
        <v>100</v>
      </c>
      <c r="Z75" s="29">
        <f>MIN(Data!W$16,Z72)</f>
        <v>100</v>
      </c>
      <c r="AA75" s="29">
        <f>MIN(Data!X$16,AA72)</f>
        <v>100</v>
      </c>
      <c r="AB75" s="29">
        <f>MIN(Data!Y$16,AB72)</f>
        <v>100</v>
      </c>
      <c r="AC75" s="29">
        <f>MIN(Data!Z$16,AC72)</f>
        <v>100</v>
      </c>
      <c r="AD75" s="29">
        <f>MIN(Data!AA$16,AD72)</f>
        <v>100</v>
      </c>
    </row>
    <row r="76" spans="2:30" x14ac:dyDescent="0.35">
      <c r="C76" s="15" t="s">
        <v>195</v>
      </c>
      <c r="D76" s="22"/>
      <c r="E76" s="22" t="s">
        <v>196</v>
      </c>
      <c r="F76" s="18" t="s">
        <v>194</v>
      </c>
      <c r="G76" s="18"/>
      <c r="H76" s="29" t="str">
        <f>IF(H75=Data!E$16,Data!$B$16,$C71)</f>
        <v>Tier 1 Remedial Unit Cost</v>
      </c>
      <c r="I76" s="29" t="str">
        <f>IF(I75=Data!F$16,Data!$B$16,$C71)</f>
        <v>Tier 1 Remedial Unit Cost</v>
      </c>
      <c r="J76" s="29" t="str">
        <f>IF(J75=Data!G$16,Data!$B$16,$C71)</f>
        <v>Tier 1 Remedial Unit Cost</v>
      </c>
      <c r="K76" s="29" t="str">
        <f>IF(K75=Data!H$16,Data!$B$16,$C71)</f>
        <v>Tier 1 Remedial Unit Cost</v>
      </c>
      <c r="L76" s="29" t="str">
        <f>IF(L75=Data!I$16,Data!$B$16,$C71)</f>
        <v>Tier 1 Remedial Unit Cost</v>
      </c>
      <c r="M76" s="29" t="str">
        <f>IF(M75=Data!J$16,Data!$B$16,$C71)</f>
        <v>Tier 1 Remedial Unit Cost</v>
      </c>
      <c r="N76" s="29" t="str">
        <f>IF(N75=Data!K$16,Data!$B$16,$C71)</f>
        <v>Tier 1 Remedial Unit Cost</v>
      </c>
      <c r="O76" s="29" t="str">
        <f>IF(O75=Data!L$16,Data!$B$16,$C71)</f>
        <v>Tier 1 Remedial Unit Cost</v>
      </c>
      <c r="P76" s="29" t="str">
        <f>IF(P75=Data!M$16,Data!$B$16,$C71)</f>
        <v>Tier 1 Remedial Unit Cost</v>
      </c>
      <c r="Q76" s="29" t="str">
        <f>IF(Q75=Data!N$16,Data!$B$16,$C71)</f>
        <v>Tier 1 Remedial Unit Cost</v>
      </c>
      <c r="R76" s="29" t="str">
        <f>IF(R75=Data!O$16,Data!$B$16,$C71)</f>
        <v>Tier 1 Remedial Unit Cost</v>
      </c>
      <c r="S76" s="29" t="str">
        <f>IF(S75=Data!P$16,Data!$B$16,$C71)</f>
        <v>Tier 1 Remedial Unit Cost</v>
      </c>
      <c r="T76" s="29" t="str">
        <f>IF(T75=Data!Q$16,Data!$B$16,$C71)</f>
        <v>Tier 1 Remedial Unit Cost</v>
      </c>
      <c r="U76" s="29" t="str">
        <f>IF(U75=Data!R$16,Data!$B$16,$C71)</f>
        <v>Tier 1 Remedial Unit Cost</v>
      </c>
      <c r="V76" s="29" t="str">
        <f>IF(V75=Data!S$16,Data!$B$16,$C71)</f>
        <v>Tier 1 Remedial Unit Cost</v>
      </c>
      <c r="W76" s="29" t="str">
        <f>IF(W75=Data!T$16,Data!$B$16,$C71)</f>
        <v>Tier 1 Remedial Unit Cost</v>
      </c>
      <c r="X76" s="29" t="str">
        <f>IF(X75=Data!U$16,Data!$B$16,$C71)</f>
        <v>Tier 1 Remedial Unit Cost</v>
      </c>
      <c r="Y76" s="29" t="str">
        <f>IF(Y75=Data!V$16,Data!$B$16,$C71)</f>
        <v>Tier 1 Remedial Unit Cost</v>
      </c>
      <c r="Z76" s="29" t="str">
        <f>IF(Z75=Data!W$16,Data!$B$16,$C71)</f>
        <v>Tier 1 Remedial Unit Cost</v>
      </c>
      <c r="AA76" s="29" t="str">
        <f>IF(AA75=Data!X$16,Data!$B$16,$C71)</f>
        <v>Tier 1 Remedial Unit Cost</v>
      </c>
      <c r="AB76" s="29" t="str">
        <f>IF(AB75=Data!Y$16,Data!$B$16,$C71)</f>
        <v>Tier 1 Remedial Unit Cost</v>
      </c>
      <c r="AC76" s="29" t="str">
        <f>IF(AC75=Data!Z$16,Data!$B$16,$C71)</f>
        <v>Tier 1 Remedial Unit Cost</v>
      </c>
      <c r="AD76" s="29" t="str">
        <f>IF(AD75=Data!AA$16,Data!$B$16,$C71)</f>
        <v>Tier 1 Remedial Unit Cost</v>
      </c>
    </row>
    <row r="77" spans="2:30" x14ac:dyDescent="0.35">
      <c r="C77" s="15" t="s">
        <v>203</v>
      </c>
      <c r="D77" s="22"/>
      <c r="E77" s="22" t="s">
        <v>198</v>
      </c>
      <c r="F77" s="18" t="s">
        <v>194</v>
      </c>
      <c r="G77" s="18" t="s">
        <v>145</v>
      </c>
      <c r="H77" s="29">
        <f>IF(H76=Data!$B$16,H$25,H$71*H$21)</f>
        <v>0</v>
      </c>
      <c r="I77" s="29">
        <f>IF(I76=Data!$B$16,I$25,I$71*I$21)</f>
        <v>6.4153974000000193</v>
      </c>
      <c r="J77" s="29">
        <f>IF(J76=Data!$B$16,J$25,J$71*J$21)</f>
        <v>13.916717399999962</v>
      </c>
      <c r="K77" s="29">
        <f>IF(K76=Data!$B$16,K$25,K$71*K$21)</f>
        <v>30.4196214</v>
      </c>
      <c r="L77" s="29">
        <f>IF(L76=Data!$B$16,L$25,L$71*L$21)</f>
        <v>46.922525399999984</v>
      </c>
      <c r="M77" s="29">
        <f>IF(M76=Data!$B$16,M$25,M$71*M$21)</f>
        <v>48.758579999999959</v>
      </c>
      <c r="N77" s="29">
        <f>IF(N76=Data!$B$16,N$25,N$71*N$21)</f>
        <v>48.758580000000016</v>
      </c>
      <c r="O77" s="29">
        <f>IF(O76=Data!$B$16,O$25,O$71*O$21)</f>
        <v>48.758579999999988</v>
      </c>
      <c r="P77" s="29">
        <f>IF(P76=Data!$B$16,P$25,P$71*P$21)</f>
        <v>48.758580000000016</v>
      </c>
      <c r="Q77" s="29">
        <f>IF(Q76=Data!$B$16,Q$25,Q$71*Q$21)</f>
        <v>48.758579999999988</v>
      </c>
      <c r="R77" s="29">
        <f>IF(R76=Data!$B$16,R$25,R$71*R$21)</f>
        <v>48.758579999999988</v>
      </c>
      <c r="S77" s="29">
        <f>IF(S76=Data!$B$16,S$25,S$71*S$21)</f>
        <v>48.758580000000009</v>
      </c>
      <c r="T77" s="29">
        <f>IF(T76=Data!$B$16,T$25,T$71*T$21)</f>
        <v>48.758580000000009</v>
      </c>
      <c r="U77" s="29">
        <f>IF(U76=Data!$B$16,U$25,U$71*U$21)</f>
        <v>48.758580000000009</v>
      </c>
      <c r="V77" s="29">
        <f>IF(V76=Data!$B$16,V$25,V$71*V$21)</f>
        <v>48.758580000000009</v>
      </c>
      <c r="W77" s="29">
        <f>IF(W76=Data!$B$16,W$25,W$71*W$21)</f>
        <v>48.758580000000009</v>
      </c>
      <c r="X77" s="29">
        <f>IF(X76=Data!$B$16,X$25,X$71*X$21)</f>
        <v>48.758580000000009</v>
      </c>
      <c r="Y77" s="29">
        <f>IF(Y76=Data!$B$16,Y$25,Y$71*Y$21)</f>
        <v>48.758579999999988</v>
      </c>
      <c r="Z77" s="29">
        <f>IF(Z76=Data!$B$16,Z$25,Z$71*Z$21)</f>
        <v>48.758579999999995</v>
      </c>
      <c r="AA77" s="29">
        <f>IF(AA76=Data!$B$16,AA$25,AA$71*AA$21)</f>
        <v>48.758579999999995</v>
      </c>
      <c r="AB77" s="29">
        <f>IF(AB76=Data!$B$16,AB$25,AB$71*AB$21)</f>
        <v>41.257259999999782</v>
      </c>
      <c r="AC77" s="29">
        <f>IF(AC76=Data!$B$16,AC$25,AC$71*AC$21)</f>
        <v>30.005279999999356</v>
      </c>
      <c r="AD77" s="29">
        <f>IF(AD76=Data!$B$16,AD$25,AD$71*AD$21)</f>
        <v>18.753299999998934</v>
      </c>
    </row>
    <row r="78" spans="2:30" x14ac:dyDescent="0.35">
      <c r="B78" s="86" t="s">
        <v>90</v>
      </c>
      <c r="C78" s="15" t="s">
        <v>213</v>
      </c>
      <c r="D78" s="22"/>
      <c r="E78" s="22" t="s">
        <v>214</v>
      </c>
      <c r="F78" s="18" t="s">
        <v>215</v>
      </c>
      <c r="G78" s="18" t="s">
        <v>142</v>
      </c>
      <c r="H78" s="29">
        <f>H22</f>
        <v>-1.0859225999999784E-2</v>
      </c>
      <c r="I78" s="29">
        <f t="shared" ref="I78:AD78" si="19">I22</f>
        <v>0</v>
      </c>
      <c r="J78" s="29">
        <f t="shared" si="19"/>
        <v>0</v>
      </c>
      <c r="K78" s="29">
        <f t="shared" si="19"/>
        <v>0</v>
      </c>
      <c r="L78" s="29">
        <f t="shared" si="19"/>
        <v>0</v>
      </c>
      <c r="M78" s="29">
        <f t="shared" si="19"/>
        <v>0</v>
      </c>
      <c r="N78" s="29">
        <f t="shared" si="19"/>
        <v>0</v>
      </c>
      <c r="O78" s="29">
        <f t="shared" si="19"/>
        <v>0</v>
      </c>
      <c r="P78" s="29">
        <f t="shared" si="19"/>
        <v>0</v>
      </c>
      <c r="Q78" s="29">
        <f t="shared" si="19"/>
        <v>0</v>
      </c>
      <c r="R78" s="29">
        <f t="shared" si="19"/>
        <v>0</v>
      </c>
      <c r="S78" s="29">
        <f t="shared" si="19"/>
        <v>0</v>
      </c>
      <c r="T78" s="29">
        <f t="shared" si="19"/>
        <v>0</v>
      </c>
      <c r="U78" s="29">
        <f t="shared" si="19"/>
        <v>0</v>
      </c>
      <c r="V78" s="29">
        <f t="shared" si="19"/>
        <v>0</v>
      </c>
      <c r="W78" s="29">
        <f t="shared" si="19"/>
        <v>0</v>
      </c>
      <c r="X78" s="29">
        <f t="shared" si="19"/>
        <v>0</v>
      </c>
      <c r="Y78" s="29">
        <f t="shared" si="19"/>
        <v>0</v>
      </c>
      <c r="Z78" s="29">
        <f t="shared" si="19"/>
        <v>0</v>
      </c>
      <c r="AA78" s="29">
        <f t="shared" si="19"/>
        <v>0</v>
      </c>
      <c r="AB78" s="29">
        <f t="shared" si="19"/>
        <v>0</v>
      </c>
      <c r="AC78" s="29">
        <f t="shared" si="19"/>
        <v>0</v>
      </c>
      <c r="AD78" s="29">
        <f t="shared" si="19"/>
        <v>0</v>
      </c>
    </row>
    <row r="79" spans="2:30" x14ac:dyDescent="0.35">
      <c r="C79" s="15" t="s">
        <v>216</v>
      </c>
      <c r="D79" s="22"/>
      <c r="E79" s="22" t="s">
        <v>217</v>
      </c>
      <c r="F79" s="18" t="s">
        <v>218</v>
      </c>
      <c r="G79" s="18" t="s">
        <v>219</v>
      </c>
      <c r="H79" s="29">
        <f>H78*H47</f>
        <v>-2.9103094457463841</v>
      </c>
      <c r="I79" s="29">
        <f t="shared" ref="I79:AD79" si="20">I78*I47</f>
        <v>0</v>
      </c>
      <c r="J79" s="29">
        <f t="shared" si="20"/>
        <v>0</v>
      </c>
      <c r="K79" s="29">
        <f t="shared" si="20"/>
        <v>0</v>
      </c>
      <c r="L79" s="29">
        <f t="shared" si="20"/>
        <v>0</v>
      </c>
      <c r="M79" s="29">
        <f t="shared" si="20"/>
        <v>0</v>
      </c>
      <c r="N79" s="29">
        <f t="shared" si="20"/>
        <v>0</v>
      </c>
      <c r="O79" s="29">
        <f t="shared" si="20"/>
        <v>0</v>
      </c>
      <c r="P79" s="29">
        <f t="shared" si="20"/>
        <v>0</v>
      </c>
      <c r="Q79" s="29">
        <f t="shared" si="20"/>
        <v>0</v>
      </c>
      <c r="R79" s="29">
        <f t="shared" si="20"/>
        <v>0</v>
      </c>
      <c r="S79" s="29">
        <f t="shared" si="20"/>
        <v>0</v>
      </c>
      <c r="T79" s="29">
        <f t="shared" si="20"/>
        <v>0</v>
      </c>
      <c r="U79" s="29">
        <f t="shared" si="20"/>
        <v>0</v>
      </c>
      <c r="V79" s="29">
        <f t="shared" si="20"/>
        <v>0</v>
      </c>
      <c r="W79" s="29">
        <f t="shared" si="20"/>
        <v>0</v>
      </c>
      <c r="X79" s="29">
        <f t="shared" si="20"/>
        <v>0</v>
      </c>
      <c r="Y79" s="29">
        <f t="shared" si="20"/>
        <v>0</v>
      </c>
      <c r="Z79" s="29">
        <f t="shared" si="20"/>
        <v>0</v>
      </c>
      <c r="AA79" s="29">
        <f t="shared" si="20"/>
        <v>0</v>
      </c>
      <c r="AB79" s="29">
        <f t="shared" si="20"/>
        <v>0</v>
      </c>
      <c r="AC79" s="29">
        <f t="shared" si="20"/>
        <v>0</v>
      </c>
      <c r="AD79" s="29">
        <f t="shared" si="20"/>
        <v>0</v>
      </c>
    </row>
    <row r="80" spans="2:30" x14ac:dyDescent="0.35">
      <c r="B80" s="81" t="s">
        <v>204</v>
      </c>
      <c r="C80" s="19" t="s">
        <v>75</v>
      </c>
      <c r="D80" s="87"/>
      <c r="E80" s="87" t="s">
        <v>220</v>
      </c>
      <c r="F80" s="88"/>
      <c r="G80" s="88" t="s">
        <v>145</v>
      </c>
      <c r="H80" s="116">
        <f>H23*Data!$E$6*1000</f>
        <v>543.24217658781072</v>
      </c>
      <c r="I80" s="116">
        <f>I23*Data!$E$6*1000</f>
        <v>500.95984461569799</v>
      </c>
      <c r="J80" s="116">
        <f>J23*Data!$E$6*1000</f>
        <v>458.67751264358537</v>
      </c>
      <c r="K80" s="116">
        <f>K23*Data!$E$6*1000</f>
        <v>458.46939569230477</v>
      </c>
      <c r="L80" s="116">
        <f>L23*Data!$E$6*1000</f>
        <v>458.261278741024</v>
      </c>
      <c r="M80" s="116">
        <f>M23*Data!$E$6*1000</f>
        <v>458.05316178974346</v>
      </c>
      <c r="N80" s="116">
        <f>N23*Data!$E$6*1000</f>
        <v>457.84504483846268</v>
      </c>
      <c r="O80" s="116">
        <f>O23*Data!$E$6*1000</f>
        <v>457.63692788718186</v>
      </c>
      <c r="P80" s="116">
        <f>P23*Data!$E$6*1000</f>
        <v>456.64523369706683</v>
      </c>
      <c r="Q80" s="116">
        <f>Q23*Data!$E$6*1000</f>
        <v>455.65353950695152</v>
      </c>
      <c r="R80" s="116">
        <f>R23*Data!$E$6*1000</f>
        <v>454.66184531683621</v>
      </c>
      <c r="S80" s="116">
        <f>S23*Data!$E$6*1000</f>
        <v>453.67015112672084</v>
      </c>
      <c r="T80" s="116">
        <f>T23*Data!$E$6*1000</f>
        <v>452.67845693660587</v>
      </c>
      <c r="U80" s="116">
        <f>U23*Data!$E$6*1000</f>
        <v>451.71439484735316</v>
      </c>
      <c r="V80" s="116">
        <f>V23*Data!$E$6*1000</f>
        <v>450.75033275810091</v>
      </c>
      <c r="W80" s="116">
        <f>W23*Data!$E$6*1000</f>
        <v>449.78627066884837</v>
      </c>
      <c r="X80" s="116">
        <f>X23*Data!$E$6*1000</f>
        <v>448.82220857959578</v>
      </c>
      <c r="Y80" s="116">
        <f>Y23*Data!$E$6*1000</f>
        <v>447.85814649034324</v>
      </c>
      <c r="Z80" s="116">
        <f>Z23*Data!$E$6*1000</f>
        <v>447.02154141561078</v>
      </c>
      <c r="AA80" s="116">
        <f>AA23*Data!$E$6*1000</f>
        <v>446.18493634087849</v>
      </c>
      <c r="AB80" s="116">
        <f>AB23*Data!$E$6*1000</f>
        <v>445.34833126614609</v>
      </c>
      <c r="AC80" s="116">
        <f>AC23*Data!$E$6*1000</f>
        <v>444.5117261914138</v>
      </c>
      <c r="AD80" s="116">
        <f>AD23*Data!$E$6*1000</f>
        <v>443.67512111668151</v>
      </c>
    </row>
    <row r="81" spans="2:30" x14ac:dyDescent="0.35">
      <c r="C81" s="19" t="s">
        <v>80</v>
      </c>
      <c r="D81" s="87"/>
      <c r="E81" s="87" t="s">
        <v>221</v>
      </c>
      <c r="F81" s="88"/>
      <c r="G81" s="88" t="s">
        <v>145</v>
      </c>
      <c r="H81" s="116">
        <f t="shared" ref="H81:AD81" si="21">H74</f>
        <v>0</v>
      </c>
      <c r="I81" s="116">
        <f t="shared" si="21"/>
        <v>0</v>
      </c>
      <c r="J81" s="116">
        <f t="shared" si="21"/>
        <v>0</v>
      </c>
      <c r="K81" s="116">
        <f t="shared" si="21"/>
        <v>0</v>
      </c>
      <c r="L81" s="116">
        <f t="shared" si="21"/>
        <v>0</v>
      </c>
      <c r="M81" s="116">
        <f t="shared" si="21"/>
        <v>55.734027720000043</v>
      </c>
      <c r="N81" s="116">
        <f t="shared" si="21"/>
        <v>118.44506292</v>
      </c>
      <c r="O81" s="116">
        <f t="shared" si="21"/>
        <v>181.15609812001622</v>
      </c>
      <c r="P81" s="116">
        <f t="shared" si="21"/>
        <v>280.9236541200064</v>
      </c>
      <c r="Q81" s="116">
        <f t="shared" si="21"/>
        <v>380.69121011999675</v>
      </c>
      <c r="R81" s="116">
        <f t="shared" si="21"/>
        <v>480.45876612002758</v>
      </c>
      <c r="S81" s="116">
        <f t="shared" si="21"/>
        <v>580.22632212001781</v>
      </c>
      <c r="T81" s="116">
        <f t="shared" si="21"/>
        <v>679.99387812000816</v>
      </c>
      <c r="U81" s="116">
        <f t="shared" si="21"/>
        <v>722.75140211999963</v>
      </c>
      <c r="V81" s="116">
        <f t="shared" si="21"/>
        <v>765.50892612000121</v>
      </c>
      <c r="W81" s="116">
        <f t="shared" si="21"/>
        <v>808.2664501200029</v>
      </c>
      <c r="X81" s="116">
        <f t="shared" si="21"/>
        <v>851.02397412000448</v>
      </c>
      <c r="Y81" s="116">
        <f t="shared" si="21"/>
        <v>893.78149811999583</v>
      </c>
      <c r="Z81" s="116">
        <f t="shared" si="21"/>
        <v>936.53902211999741</v>
      </c>
      <c r="AA81" s="116">
        <f t="shared" si="21"/>
        <v>979.29654611999911</v>
      </c>
      <c r="AB81" s="116">
        <f t="shared" si="21"/>
        <v>1022.0540701200007</v>
      </c>
      <c r="AC81" s="116">
        <f t="shared" si="21"/>
        <v>1064.8115941200024</v>
      </c>
      <c r="AD81" s="116">
        <f t="shared" si="21"/>
        <v>1107.5691181200038</v>
      </c>
    </row>
    <row r="82" spans="2:30" x14ac:dyDescent="0.35">
      <c r="C82" s="19" t="s">
        <v>84</v>
      </c>
      <c r="D82" s="87"/>
      <c r="E82" s="87" t="s">
        <v>221</v>
      </c>
      <c r="F82" s="88"/>
      <c r="G82" s="88" t="s">
        <v>145</v>
      </c>
      <c r="H82" s="116">
        <f t="shared" ref="H82:AD82" si="22">H77</f>
        <v>0</v>
      </c>
      <c r="I82" s="116">
        <f t="shared" si="22"/>
        <v>6.4153974000000193</v>
      </c>
      <c r="J82" s="116">
        <f t="shared" si="22"/>
        <v>13.916717399999962</v>
      </c>
      <c r="K82" s="116">
        <f t="shared" si="22"/>
        <v>30.4196214</v>
      </c>
      <c r="L82" s="116">
        <f t="shared" si="22"/>
        <v>46.922525399999984</v>
      </c>
      <c r="M82" s="116">
        <f t="shared" si="22"/>
        <v>48.758579999999959</v>
      </c>
      <c r="N82" s="116">
        <f t="shared" si="22"/>
        <v>48.758580000000016</v>
      </c>
      <c r="O82" s="116">
        <f t="shared" si="22"/>
        <v>48.758579999999988</v>
      </c>
      <c r="P82" s="116">
        <f t="shared" si="22"/>
        <v>48.758580000000016</v>
      </c>
      <c r="Q82" s="116">
        <f t="shared" si="22"/>
        <v>48.758579999999988</v>
      </c>
      <c r="R82" s="116">
        <f t="shared" si="22"/>
        <v>48.758579999999988</v>
      </c>
      <c r="S82" s="116">
        <f t="shared" si="22"/>
        <v>48.758580000000009</v>
      </c>
      <c r="T82" s="116">
        <f t="shared" si="22"/>
        <v>48.758580000000009</v>
      </c>
      <c r="U82" s="116">
        <f t="shared" si="22"/>
        <v>48.758580000000009</v>
      </c>
      <c r="V82" s="116">
        <f t="shared" si="22"/>
        <v>48.758580000000009</v>
      </c>
      <c r="W82" s="116">
        <f t="shared" si="22"/>
        <v>48.758580000000009</v>
      </c>
      <c r="X82" s="116">
        <f t="shared" si="22"/>
        <v>48.758580000000009</v>
      </c>
      <c r="Y82" s="116">
        <f t="shared" si="22"/>
        <v>48.758579999999988</v>
      </c>
      <c r="Z82" s="116">
        <f t="shared" si="22"/>
        <v>48.758579999999995</v>
      </c>
      <c r="AA82" s="116">
        <f t="shared" si="22"/>
        <v>48.758579999999995</v>
      </c>
      <c r="AB82" s="116">
        <f t="shared" si="22"/>
        <v>41.257259999999782</v>
      </c>
      <c r="AC82" s="116">
        <f t="shared" si="22"/>
        <v>30.005279999999356</v>
      </c>
      <c r="AD82" s="116">
        <f t="shared" si="22"/>
        <v>18.753299999998934</v>
      </c>
    </row>
    <row r="83" spans="2:30" ht="15" thickBot="1" x14ac:dyDescent="0.4">
      <c r="C83" s="89" t="s">
        <v>90</v>
      </c>
      <c r="D83" s="90"/>
      <c r="E83" s="90"/>
      <c r="F83" s="91"/>
      <c r="G83" s="91" t="s">
        <v>145</v>
      </c>
      <c r="H83" s="117">
        <f t="shared" ref="H83:AD83" si="23">H79</f>
        <v>-2.9103094457463841</v>
      </c>
      <c r="I83" s="117">
        <f t="shared" si="23"/>
        <v>0</v>
      </c>
      <c r="J83" s="117">
        <f t="shared" si="23"/>
        <v>0</v>
      </c>
      <c r="K83" s="117">
        <f t="shared" si="23"/>
        <v>0</v>
      </c>
      <c r="L83" s="117">
        <f t="shared" si="23"/>
        <v>0</v>
      </c>
      <c r="M83" s="117">
        <f t="shared" si="23"/>
        <v>0</v>
      </c>
      <c r="N83" s="117">
        <f t="shared" si="23"/>
        <v>0</v>
      </c>
      <c r="O83" s="117">
        <f t="shared" si="23"/>
        <v>0</v>
      </c>
      <c r="P83" s="117">
        <f t="shared" si="23"/>
        <v>0</v>
      </c>
      <c r="Q83" s="117">
        <f t="shared" si="23"/>
        <v>0</v>
      </c>
      <c r="R83" s="117">
        <f t="shared" si="23"/>
        <v>0</v>
      </c>
      <c r="S83" s="117">
        <f t="shared" si="23"/>
        <v>0</v>
      </c>
      <c r="T83" s="117">
        <f t="shared" si="23"/>
        <v>0</v>
      </c>
      <c r="U83" s="117">
        <f t="shared" si="23"/>
        <v>0</v>
      </c>
      <c r="V83" s="117">
        <f t="shared" si="23"/>
        <v>0</v>
      </c>
      <c r="W83" s="117">
        <f t="shared" si="23"/>
        <v>0</v>
      </c>
      <c r="X83" s="117">
        <f t="shared" si="23"/>
        <v>0</v>
      </c>
      <c r="Y83" s="117">
        <f t="shared" si="23"/>
        <v>0</v>
      </c>
      <c r="Z83" s="117">
        <f t="shared" si="23"/>
        <v>0</v>
      </c>
      <c r="AA83" s="117">
        <f t="shared" si="23"/>
        <v>0</v>
      </c>
      <c r="AB83" s="117">
        <f t="shared" si="23"/>
        <v>0</v>
      </c>
      <c r="AC83" s="117">
        <f t="shared" si="23"/>
        <v>0</v>
      </c>
      <c r="AD83" s="117">
        <f t="shared" si="23"/>
        <v>0</v>
      </c>
    </row>
    <row r="84" spans="2:30" ht="15" thickTop="1" x14ac:dyDescent="0.35">
      <c r="C84" s="92" t="s">
        <v>93</v>
      </c>
      <c r="D84" s="87"/>
      <c r="E84" s="22"/>
      <c r="F84" s="18" t="s">
        <v>222</v>
      </c>
      <c r="G84" s="88" t="s">
        <v>145</v>
      </c>
      <c r="H84" s="116">
        <f t="shared" ref="H84:AD84" si="24">SUM(H80:H83)</f>
        <v>540.33186714206431</v>
      </c>
      <c r="I84" s="116">
        <f t="shared" si="24"/>
        <v>507.37524201569801</v>
      </c>
      <c r="J84" s="116">
        <f t="shared" si="24"/>
        <v>472.59423004358536</v>
      </c>
      <c r="K84" s="116">
        <f t="shared" si="24"/>
        <v>488.88901709230475</v>
      </c>
      <c r="L84" s="116">
        <f t="shared" si="24"/>
        <v>505.18380414102398</v>
      </c>
      <c r="M84" s="116">
        <f t="shared" si="24"/>
        <v>562.54576950974342</v>
      </c>
      <c r="N84" s="116">
        <f t="shared" si="24"/>
        <v>625.04868775846273</v>
      </c>
      <c r="O84" s="116">
        <f t="shared" si="24"/>
        <v>687.55160600719796</v>
      </c>
      <c r="P84" s="116">
        <f t="shared" si="24"/>
        <v>786.32746781707328</v>
      </c>
      <c r="Q84" s="116">
        <f t="shared" si="24"/>
        <v>885.10332962694815</v>
      </c>
      <c r="R84" s="116">
        <f t="shared" si="24"/>
        <v>983.87919143686372</v>
      </c>
      <c r="S84" s="116">
        <f t="shared" si="24"/>
        <v>1082.6550532467386</v>
      </c>
      <c r="T84" s="116">
        <f t="shared" si="24"/>
        <v>1181.4309150566139</v>
      </c>
      <c r="U84" s="116">
        <f t="shared" si="24"/>
        <v>1223.2243769673528</v>
      </c>
      <c r="V84" s="116">
        <f t="shared" si="24"/>
        <v>1265.0178388781021</v>
      </c>
      <c r="W84" s="116">
        <f t="shared" si="24"/>
        <v>1306.8113007888512</v>
      </c>
      <c r="X84" s="116">
        <f t="shared" si="24"/>
        <v>1348.6047626996003</v>
      </c>
      <c r="Y84" s="116">
        <f t="shared" si="24"/>
        <v>1390.398224610339</v>
      </c>
      <c r="Z84" s="116">
        <f t="shared" si="24"/>
        <v>1432.3191435356082</v>
      </c>
      <c r="AA84" s="116">
        <f t="shared" si="24"/>
        <v>1474.2400624608774</v>
      </c>
      <c r="AB84" s="116">
        <f t="shared" si="24"/>
        <v>1508.6596613861466</v>
      </c>
      <c r="AC84" s="116">
        <f t="shared" si="24"/>
        <v>1539.3286003114156</v>
      </c>
      <c r="AD84" s="116">
        <f t="shared" si="24"/>
        <v>1569.9975392366844</v>
      </c>
    </row>
    <row r="86" spans="2:30" x14ac:dyDescent="0.35">
      <c r="B86" s="86"/>
      <c r="C86" s="15"/>
      <c r="D86" s="22"/>
      <c r="E86" s="22"/>
      <c r="F86" s="18"/>
      <c r="G86" s="18"/>
      <c r="H86" s="29"/>
      <c r="I86" s="29"/>
      <c r="J86" s="29"/>
      <c r="K86" s="29"/>
      <c r="L86" s="29"/>
      <c r="M86" s="29"/>
      <c r="N86" s="29"/>
      <c r="O86" s="29"/>
      <c r="P86" s="29"/>
      <c r="Q86" s="29"/>
      <c r="R86" s="29"/>
      <c r="S86" s="29"/>
      <c r="T86" s="29"/>
      <c r="U86" s="29"/>
      <c r="V86" s="29"/>
      <c r="W86" s="29"/>
      <c r="X86" s="29"/>
      <c r="Y86" s="29"/>
      <c r="Z86" s="29"/>
      <c r="AA86" s="29"/>
      <c r="AB86" s="29"/>
      <c r="AC86" s="29"/>
      <c r="AD86" s="29"/>
    </row>
    <row r="87" spans="2:30" ht="15.65" customHeight="1" x14ac:dyDescent="0.35">
      <c r="C87" s="19" t="s">
        <v>69</v>
      </c>
      <c r="D87" s="22"/>
      <c r="E87" s="22"/>
      <c r="F87" s="18"/>
      <c r="G87" s="18"/>
    </row>
    <row r="88" spans="2:30" ht="15.65" customHeight="1" x14ac:dyDescent="0.35">
      <c r="C88" s="38" t="s">
        <v>111</v>
      </c>
      <c r="D88" s="78" t="s">
        <v>112</v>
      </c>
      <c r="E88" s="78" t="s">
        <v>72</v>
      </c>
      <c r="F88" s="78" t="s">
        <v>99</v>
      </c>
      <c r="G88" s="31" t="s">
        <v>100</v>
      </c>
      <c r="H88" s="111">
        <v>2028</v>
      </c>
      <c r="I88" s="111">
        <v>2029</v>
      </c>
      <c r="J88" s="111">
        <v>2030</v>
      </c>
      <c r="K88" s="111">
        <v>2031</v>
      </c>
      <c r="L88" s="111">
        <v>2032</v>
      </c>
      <c r="M88" s="111">
        <v>2033</v>
      </c>
      <c r="N88" s="111">
        <v>2034</v>
      </c>
      <c r="O88" s="111">
        <v>2035</v>
      </c>
      <c r="P88" s="110">
        <v>2036</v>
      </c>
      <c r="Q88" s="110">
        <v>2037</v>
      </c>
      <c r="R88" s="111">
        <v>2038</v>
      </c>
      <c r="S88" s="111">
        <v>2039</v>
      </c>
      <c r="T88" s="111">
        <v>2040</v>
      </c>
      <c r="U88" s="111">
        <v>2041</v>
      </c>
      <c r="V88" s="111">
        <v>2042</v>
      </c>
      <c r="W88" s="111">
        <v>2043</v>
      </c>
      <c r="X88" s="111">
        <v>2044</v>
      </c>
      <c r="Y88" s="111">
        <v>2045</v>
      </c>
      <c r="Z88" s="110">
        <v>2046</v>
      </c>
      <c r="AA88" s="110">
        <v>2047</v>
      </c>
      <c r="AB88" s="111">
        <v>2048</v>
      </c>
      <c r="AC88" s="111">
        <v>2049</v>
      </c>
      <c r="AD88" s="111">
        <v>2050</v>
      </c>
    </row>
    <row r="89" spans="2:30" ht="15.65" customHeight="1" x14ac:dyDescent="0.35">
      <c r="C89" s="15" t="s">
        <v>223</v>
      </c>
      <c r="D89" s="22"/>
      <c r="E89" s="22" t="s">
        <v>224</v>
      </c>
      <c r="F89" s="18" t="s">
        <v>225</v>
      </c>
      <c r="G89" s="18" t="s">
        <v>126</v>
      </c>
      <c r="H89" s="29">
        <f t="shared" ref="H89:AD89" si="25">H$39-H$15</f>
        <v>35.509981645172225</v>
      </c>
      <c r="I89" s="29">
        <f t="shared" si="25"/>
        <v>35.902457373327636</v>
      </c>
      <c r="J89" s="29">
        <f t="shared" si="25"/>
        <v>36.294933101482876</v>
      </c>
      <c r="K89" s="29">
        <f t="shared" si="25"/>
        <v>36.294933101482876</v>
      </c>
      <c r="L89" s="29">
        <f t="shared" si="25"/>
        <v>36.294933101482876</v>
      </c>
      <c r="M89" s="29">
        <f t="shared" si="25"/>
        <v>36.294933101482876</v>
      </c>
      <c r="N89" s="29">
        <f t="shared" si="25"/>
        <v>36.294933101482876</v>
      </c>
      <c r="O89" s="29">
        <f t="shared" si="25"/>
        <v>36.294933101482876</v>
      </c>
      <c r="P89" s="29">
        <f t="shared" si="25"/>
        <v>36.294933101482876</v>
      </c>
      <c r="Q89" s="29">
        <f t="shared" si="25"/>
        <v>36.294933101482876</v>
      </c>
      <c r="R89" s="29">
        <f t="shared" si="25"/>
        <v>36.294933101482876</v>
      </c>
      <c r="S89" s="29">
        <f t="shared" si="25"/>
        <v>36.294933101482876</v>
      </c>
      <c r="T89" s="29">
        <f t="shared" si="25"/>
        <v>36.294933101482876</v>
      </c>
      <c r="U89" s="29">
        <f t="shared" si="25"/>
        <v>36.294933101482876</v>
      </c>
      <c r="V89" s="29">
        <f t="shared" si="25"/>
        <v>36.294933101482876</v>
      </c>
      <c r="W89" s="29">
        <f t="shared" si="25"/>
        <v>36.294933101482876</v>
      </c>
      <c r="X89" s="29">
        <f t="shared" si="25"/>
        <v>36.294933101482876</v>
      </c>
      <c r="Y89" s="29">
        <f t="shared" si="25"/>
        <v>36.294933101482876</v>
      </c>
      <c r="Z89" s="29">
        <f t="shared" si="25"/>
        <v>36.294933101482876</v>
      </c>
      <c r="AA89" s="29">
        <f t="shared" si="25"/>
        <v>36.294933101482876</v>
      </c>
      <c r="AB89" s="29">
        <f t="shared" si="25"/>
        <v>36.294933101482876</v>
      </c>
      <c r="AC89" s="29">
        <f t="shared" si="25"/>
        <v>36.294933101482876</v>
      </c>
      <c r="AD89" s="29">
        <f t="shared" si="25"/>
        <v>36.294933101482876</v>
      </c>
    </row>
    <row r="90" spans="2:30" ht="15.65" customHeight="1" x14ac:dyDescent="0.35">
      <c r="C90" s="15" t="s">
        <v>226</v>
      </c>
      <c r="D90" s="22"/>
      <c r="E90" s="22"/>
      <c r="F90" s="18" t="s">
        <v>227</v>
      </c>
      <c r="G90" s="18" t="s">
        <v>187</v>
      </c>
      <c r="H90" s="29">
        <f t="shared" ref="H90:AD90" si="26">H$12-H$35</f>
        <v>8.5628110000000007E-2</v>
      </c>
      <c r="I90" s="29">
        <f t="shared" si="26"/>
        <v>8.5628110000000007E-2</v>
      </c>
      <c r="J90" s="29">
        <f t="shared" si="26"/>
        <v>8.5628110000000007E-2</v>
      </c>
      <c r="K90" s="29">
        <f t="shared" si="26"/>
        <v>8.5628110000000007E-2</v>
      </c>
      <c r="L90" s="29">
        <f t="shared" si="26"/>
        <v>8.5628110000000007E-2</v>
      </c>
      <c r="M90" s="29">
        <f t="shared" si="26"/>
        <v>8.5628110000000007E-2</v>
      </c>
      <c r="N90" s="29">
        <f t="shared" si="26"/>
        <v>8.5628110000000007E-2</v>
      </c>
      <c r="O90" s="29">
        <f t="shared" si="26"/>
        <v>8.5628110000000007E-2</v>
      </c>
      <c r="P90" s="29">
        <f t="shared" si="26"/>
        <v>8.5628110000000007E-2</v>
      </c>
      <c r="Q90" s="29">
        <f t="shared" si="26"/>
        <v>8.5628110000000007E-2</v>
      </c>
      <c r="R90" s="29">
        <f t="shared" si="26"/>
        <v>8.5628110000000007E-2</v>
      </c>
      <c r="S90" s="29">
        <f t="shared" si="26"/>
        <v>8.5628110000000007E-2</v>
      </c>
      <c r="T90" s="29">
        <f t="shared" si="26"/>
        <v>8.5628110000000007E-2</v>
      </c>
      <c r="U90" s="29">
        <f t="shared" si="26"/>
        <v>8.5628110000000007E-2</v>
      </c>
      <c r="V90" s="29">
        <f t="shared" si="26"/>
        <v>8.5628110000000007E-2</v>
      </c>
      <c r="W90" s="29">
        <f t="shared" si="26"/>
        <v>8.5628110000000007E-2</v>
      </c>
      <c r="X90" s="29">
        <f t="shared" si="26"/>
        <v>8.5628110000000007E-2</v>
      </c>
      <c r="Y90" s="29">
        <f t="shared" si="26"/>
        <v>8.5628110000000007E-2</v>
      </c>
      <c r="Z90" s="29">
        <f t="shared" si="26"/>
        <v>8.5628110000000007E-2</v>
      </c>
      <c r="AA90" s="29">
        <f t="shared" si="26"/>
        <v>8.5628110000000007E-2</v>
      </c>
      <c r="AB90" s="29">
        <f t="shared" si="26"/>
        <v>8.5628110000000007E-2</v>
      </c>
      <c r="AC90" s="29">
        <f t="shared" si="26"/>
        <v>8.5628110000000007E-2</v>
      </c>
      <c r="AD90" s="29">
        <f t="shared" si="26"/>
        <v>8.5628110000000007E-2</v>
      </c>
    </row>
    <row r="91" spans="2:30" ht="15.65" customHeight="1" x14ac:dyDescent="0.35">
      <c r="B91" s="86" t="s">
        <v>188</v>
      </c>
      <c r="C91" s="15" t="s">
        <v>228</v>
      </c>
      <c r="D91" s="22"/>
      <c r="E91" s="22" t="s">
        <v>190</v>
      </c>
      <c r="F91" s="18" t="s">
        <v>191</v>
      </c>
      <c r="G91" s="18" t="s">
        <v>171</v>
      </c>
      <c r="H91" s="29">
        <f t="shared" ref="H91" si="27">H89/H90</f>
        <v>414.70005171400163</v>
      </c>
      <c r="I91" s="29">
        <f t="shared" ref="I91" si="28">I89/I90</f>
        <v>419.28354337527281</v>
      </c>
      <c r="J91" s="29">
        <f t="shared" ref="J91" si="29">J89/J90</f>
        <v>423.86703503654201</v>
      </c>
      <c r="K91" s="29">
        <f t="shared" ref="K91" si="30">K89/K90</f>
        <v>423.86703503654201</v>
      </c>
      <c r="L91" s="29">
        <f t="shared" ref="L91" si="31">L89/L90</f>
        <v>423.86703503654201</v>
      </c>
      <c r="M91" s="29">
        <f t="shared" ref="M91" si="32">M89/M90</f>
        <v>423.86703503654201</v>
      </c>
      <c r="N91" s="29">
        <f t="shared" ref="N91" si="33">N89/N90</f>
        <v>423.86703503654201</v>
      </c>
      <c r="O91" s="29">
        <f t="shared" ref="O91" si="34">O89/O90</f>
        <v>423.86703503654201</v>
      </c>
      <c r="P91" s="29">
        <f t="shared" ref="P91" si="35">P89/P90</f>
        <v>423.86703503654201</v>
      </c>
      <c r="Q91" s="29">
        <f t="shared" ref="Q91" si="36">Q89/Q90</f>
        <v>423.86703503654201</v>
      </c>
      <c r="R91" s="29">
        <f t="shared" ref="R91" si="37">R89/R90</f>
        <v>423.86703503654201</v>
      </c>
      <c r="S91" s="29">
        <f t="shared" ref="S91" si="38">S89/S90</f>
        <v>423.86703503654201</v>
      </c>
      <c r="T91" s="29">
        <f t="shared" ref="T91" si="39">T89/T90</f>
        <v>423.86703503654201</v>
      </c>
      <c r="U91" s="29">
        <f t="shared" ref="U91" si="40">U89/U90</f>
        <v>423.86703503654201</v>
      </c>
      <c r="V91" s="29">
        <f t="shared" ref="V91" si="41">V89/V90</f>
        <v>423.86703503654201</v>
      </c>
      <c r="W91" s="29">
        <f t="shared" ref="W91" si="42">W89/W90</f>
        <v>423.86703503654201</v>
      </c>
      <c r="X91" s="29">
        <f t="shared" ref="X91" si="43">X89/X90</f>
        <v>423.86703503654201</v>
      </c>
      <c r="Y91" s="29">
        <f t="shared" ref="Y91" si="44">Y89/Y90</f>
        <v>423.86703503654201</v>
      </c>
      <c r="Z91" s="29">
        <f t="shared" ref="Z91" si="45">Z89/Z90</f>
        <v>423.86703503654201</v>
      </c>
      <c r="AA91" s="29">
        <f t="shared" ref="AA91" si="46">AA89/AA90</f>
        <v>423.86703503654201</v>
      </c>
      <c r="AB91" s="29">
        <f t="shared" ref="AB91" si="47">AB89/AB90</f>
        <v>423.86703503654201</v>
      </c>
      <c r="AC91" s="29">
        <f t="shared" ref="AC91" si="48">AC89/AC90</f>
        <v>423.86703503654201</v>
      </c>
      <c r="AD91" s="29">
        <f t="shared" ref="AD91" si="49">AD89/AD90</f>
        <v>423.86703503654201</v>
      </c>
    </row>
    <row r="92" spans="2:30" ht="15" customHeight="1" x14ac:dyDescent="0.35">
      <c r="C92" s="15" t="s">
        <v>192</v>
      </c>
      <c r="D92" s="22"/>
      <c r="E92" s="22" t="s">
        <v>193</v>
      </c>
      <c r="F92" s="18" t="s">
        <v>194</v>
      </c>
      <c r="G92" s="18" t="s">
        <v>177</v>
      </c>
      <c r="H92" s="29">
        <f>MIN(H91,Data!E$15)</f>
        <v>380</v>
      </c>
      <c r="I92" s="29">
        <f>MIN(I91,Data!F$15)</f>
        <v>380</v>
      </c>
      <c r="J92" s="29">
        <f>MIN(J91,Data!G$15)</f>
        <v>380</v>
      </c>
      <c r="K92" s="29">
        <f>MIN(K91,Data!H$15)</f>
        <v>380</v>
      </c>
      <c r="L92" s="29">
        <f>MIN(L91,Data!I$15)</f>
        <v>380</v>
      </c>
      <c r="M92" s="29">
        <f>MIN(M91,Data!J$15)</f>
        <v>380</v>
      </c>
      <c r="N92" s="29">
        <f>MIN(N91,Data!K$15)</f>
        <v>380</v>
      </c>
      <c r="O92" s="29">
        <f>MIN(O91,Data!L$15)</f>
        <v>380</v>
      </c>
      <c r="P92" s="29">
        <f>MIN(P91,Data!M$15)</f>
        <v>380</v>
      </c>
      <c r="Q92" s="29">
        <f>MIN(Q91,Data!N$15)</f>
        <v>380</v>
      </c>
      <c r="R92" s="29">
        <f>MIN(R91,Data!O$15)</f>
        <v>380</v>
      </c>
      <c r="S92" s="29">
        <f>MIN(S91,Data!P$15)</f>
        <v>380</v>
      </c>
      <c r="T92" s="29">
        <f>MIN(T91,Data!Q$15)</f>
        <v>380</v>
      </c>
      <c r="U92" s="29">
        <f>MIN(U91,Data!R$15)</f>
        <v>380</v>
      </c>
      <c r="V92" s="29">
        <f>MIN(V91,Data!S$15)</f>
        <v>380</v>
      </c>
      <c r="W92" s="29">
        <f>MIN(W91,Data!T$15)</f>
        <v>380</v>
      </c>
      <c r="X92" s="29">
        <f>MIN(X91,Data!U$15)</f>
        <v>380</v>
      </c>
      <c r="Y92" s="29">
        <f>MIN(Y91,Data!V$15)</f>
        <v>380</v>
      </c>
      <c r="Z92" s="29">
        <f>MIN(Z91,Data!W$15)</f>
        <v>380</v>
      </c>
      <c r="AA92" s="29">
        <f>MIN(AA91,Data!X$15)</f>
        <v>380</v>
      </c>
      <c r="AB92" s="29">
        <f>MIN(AB91,Data!Y$15)</f>
        <v>380</v>
      </c>
      <c r="AC92" s="29">
        <f>MIN(AC91,Data!Z$15)</f>
        <v>380</v>
      </c>
      <c r="AD92" s="29">
        <f>MIN(AD91,Data!AA$15)</f>
        <v>380</v>
      </c>
    </row>
    <row r="93" spans="2:30" ht="15.65" customHeight="1" x14ac:dyDescent="0.35">
      <c r="C93" s="15" t="s">
        <v>195</v>
      </c>
      <c r="D93" s="22"/>
      <c r="E93" s="22" t="s">
        <v>196</v>
      </c>
      <c r="F93" s="18" t="s">
        <v>194</v>
      </c>
      <c r="G93" s="18"/>
      <c r="H93" s="29" t="str">
        <f>IF(H92=Data!E$15,Data!$B$15,$C91)</f>
        <v>Tier 2 Remedial Unit Cost</v>
      </c>
      <c r="I93" s="29" t="str">
        <f>IF(I92=Data!F$15,Data!$B$15,$C91)</f>
        <v>Tier 2 Remedial Unit Cost</v>
      </c>
      <c r="J93" s="29" t="str">
        <f>IF(J92=Data!G$15,Data!$B$15,$C91)</f>
        <v>Tier 2 Remedial Unit Cost</v>
      </c>
      <c r="K93" s="29" t="str">
        <f>IF(K92=Data!H$15,Data!$B$15,$C91)</f>
        <v>Tier 2 Remedial Unit Cost</v>
      </c>
      <c r="L93" s="29" t="str">
        <f>IF(L92=Data!I$15,Data!$B$15,$C91)</f>
        <v>Tier 2 Remedial Unit Cost</v>
      </c>
      <c r="M93" s="29" t="str">
        <f>IF(M92=Data!J$15,Data!$B$15,$C91)</f>
        <v>Tier 2 Remedial Unit Cost</v>
      </c>
      <c r="N93" s="29" t="str">
        <f>IF(N92=Data!K$15,Data!$B$15,$C91)</f>
        <v>Tier 2 Remedial Unit Cost</v>
      </c>
      <c r="O93" s="29" t="str">
        <f>IF(O92=Data!L$15,Data!$B$15,$C91)</f>
        <v>Tier 2 Remedial Unit Cost</v>
      </c>
      <c r="P93" s="29" t="str">
        <f>IF(P92=Data!M$15,Data!$B$15,$C91)</f>
        <v>Tier 2 Remedial Unit Cost</v>
      </c>
      <c r="Q93" s="29" t="str">
        <f>IF(Q92=Data!N$15,Data!$B$15,$C91)</f>
        <v>Tier 2 Remedial Unit Cost</v>
      </c>
      <c r="R93" s="29" t="str">
        <f>IF(R92=Data!O$15,Data!$B$15,$C91)</f>
        <v>Tier 2 Remedial Unit Cost</v>
      </c>
      <c r="S93" s="29" t="str">
        <f>IF(S92=Data!P$15,Data!$B$15,$C91)</f>
        <v>Tier 2 Remedial Unit Cost</v>
      </c>
      <c r="T93" s="29" t="str">
        <f>IF(T92=Data!Q$15,Data!$B$15,$C91)</f>
        <v>Tier 2 Remedial Unit Cost</v>
      </c>
      <c r="U93" s="29" t="str">
        <f>IF(U92=Data!R$15,Data!$B$15,$C91)</f>
        <v>Tier 2 Remedial Unit Cost</v>
      </c>
      <c r="V93" s="29" t="str">
        <f>IF(V92=Data!S$15,Data!$B$15,$C91)</f>
        <v>Tier 2 Remedial Unit Cost</v>
      </c>
      <c r="W93" s="29" t="str">
        <f>IF(W92=Data!T$15,Data!$B$15,$C91)</f>
        <v>Tier 2 Remedial Unit Cost</v>
      </c>
      <c r="X93" s="29" t="str">
        <f>IF(X92=Data!U$15,Data!$B$15,$C91)</f>
        <v>Tier 2 Remedial Unit Cost</v>
      </c>
      <c r="Y93" s="29" t="str">
        <f>IF(Y92=Data!V$15,Data!$B$15,$C91)</f>
        <v>Tier 2 Remedial Unit Cost</v>
      </c>
      <c r="Z93" s="29" t="str">
        <f>IF(Z92=Data!W$15,Data!$B$15,$C91)</f>
        <v>Tier 2 Remedial Unit Cost</v>
      </c>
      <c r="AA93" s="29" t="str">
        <f>IF(AA92=Data!X$15,Data!$B$15,$C91)</f>
        <v>Tier 2 Remedial Unit Cost</v>
      </c>
      <c r="AB93" s="29" t="str">
        <f>IF(AB92=Data!Y$15,Data!$B$15,$C91)</f>
        <v>Tier 2 Remedial Unit Cost</v>
      </c>
      <c r="AC93" s="29" t="str">
        <f>IF(AC92=Data!Z$15,Data!$B$15,$C91)</f>
        <v>Tier 2 Remedial Unit Cost</v>
      </c>
      <c r="AD93" s="29" t="str">
        <f>IF(AD92=Data!AA$15,Data!$B$15,$C91)</f>
        <v>Tier 2 Remedial Unit Cost</v>
      </c>
    </row>
    <row r="94" spans="2:30" x14ac:dyDescent="0.35">
      <c r="C94" s="15" t="s">
        <v>197</v>
      </c>
      <c r="D94" s="22"/>
      <c r="E94" s="22" t="s">
        <v>198</v>
      </c>
      <c r="F94" s="18" t="s">
        <v>229</v>
      </c>
      <c r="G94" s="18" t="s">
        <v>145</v>
      </c>
      <c r="H94" s="29">
        <f>IF(H93=Data!$B$15,H$16,H91*H13)</f>
        <v>92.574240360000132</v>
      </c>
      <c r="I94" s="29">
        <f>IF(I93=Data!$B$15,I$16,I91*I13)</f>
        <v>121.07925636000013</v>
      </c>
      <c r="J94" s="29">
        <f>IF(J93=Data!$B$15,J$16,J91*J13)</f>
        <v>149.58427236000011</v>
      </c>
      <c r="K94" s="29">
        <f>IF(K93=Data!$B$15,K$16,K91*K13)</f>
        <v>212.29530756000008</v>
      </c>
      <c r="L94" s="29">
        <f>IF(L93=Data!$B$15,L$16,L91*L13)</f>
        <v>275.00634276000022</v>
      </c>
      <c r="M94" s="29">
        <f>IF(M93=Data!$B$15,M$16,M91*M13)</f>
        <v>337.71737796000019</v>
      </c>
      <c r="N94" s="29">
        <f>IF(N93=Data!$B$15,N$16,N91*N13)</f>
        <v>400.42841316000016</v>
      </c>
      <c r="O94" s="29">
        <f>IF(O93=Data!$B$15,O$16,O91*O13)</f>
        <v>463.13944836001639</v>
      </c>
      <c r="P94" s="29">
        <f>IF(P93=Data!$B$15,P$16,P91*P13)</f>
        <v>562.90700436000657</v>
      </c>
      <c r="Q94" s="29">
        <f>IF(Q93=Data!$B$15,Q$16,Q91*Q13)</f>
        <v>662.6745603599968</v>
      </c>
      <c r="R94" s="29">
        <f>IF(R93=Data!$B$15,R$16,R91*R13)</f>
        <v>762.44211636002774</v>
      </c>
      <c r="S94" s="29">
        <f>IF(S93=Data!$B$15,S$16,S91*S13)</f>
        <v>862.20967236001786</v>
      </c>
      <c r="T94" s="29">
        <f>IF(T93=Data!$B$15,T$16,T91*T13)</f>
        <v>961.97722836000821</v>
      </c>
      <c r="U94" s="29">
        <f>IF(U93=Data!$B$15,U$16,U91*U13)</f>
        <v>1004.7347523599997</v>
      </c>
      <c r="V94" s="29">
        <f>IF(V93=Data!$B$15,V$16,V91*V13)</f>
        <v>1047.4922763600014</v>
      </c>
      <c r="W94" s="29">
        <f>IF(W93=Data!$B$15,W$16,W91*W13)</f>
        <v>1090.2498003600031</v>
      </c>
      <c r="X94" s="29">
        <f>IF(X93=Data!$B$15,X$16,X91*X13)</f>
        <v>1133.0073243600045</v>
      </c>
      <c r="Y94" s="29">
        <f>IF(Y93=Data!$B$15,Y$16,Y91*Y13)</f>
        <v>1175.764848359996</v>
      </c>
      <c r="Z94" s="29">
        <f>IF(Z93=Data!$B$15,Z$16,Z91*Z13)</f>
        <v>1218.5223723599975</v>
      </c>
      <c r="AA94" s="29">
        <f>IF(AA93=Data!$B$15,AA$16,AA91*AA13)</f>
        <v>1261.2798963599992</v>
      </c>
      <c r="AB94" s="29">
        <f>IF(AB93=Data!$B$15,AB$16,AB91*AB13)</f>
        <v>1304.0374203600009</v>
      </c>
      <c r="AC94" s="29">
        <f>IF(AC93=Data!$B$15,AC$16,AC91*AC13)</f>
        <v>1346.7949443600025</v>
      </c>
      <c r="AD94" s="29">
        <f>IF(AD93=Data!$B$15,AD$16,AD91*AD13)</f>
        <v>1389.552468360004</v>
      </c>
    </row>
    <row r="95" spans="2:30" x14ac:dyDescent="0.35">
      <c r="B95" s="86" t="s">
        <v>200</v>
      </c>
      <c r="C95" s="15" t="s">
        <v>192</v>
      </c>
      <c r="D95" s="22"/>
      <c r="E95" s="22" t="s">
        <v>193</v>
      </c>
      <c r="F95" s="18" t="s">
        <v>194</v>
      </c>
      <c r="G95" s="18" t="s">
        <v>177</v>
      </c>
      <c r="H95" s="29">
        <f>MIN(Data!E$16,H92)</f>
        <v>100</v>
      </c>
      <c r="I95" s="29">
        <f>MIN(Data!F$16,I92)</f>
        <v>100</v>
      </c>
      <c r="J95" s="29">
        <f>MIN(Data!G$16,J92)</f>
        <v>100</v>
      </c>
      <c r="K95" s="29">
        <f>MIN(Data!H$16,K92)</f>
        <v>100</v>
      </c>
      <c r="L95" s="29">
        <f>MIN(Data!I$16,L92)</f>
        <v>100</v>
      </c>
      <c r="M95" s="29">
        <f>MIN(Data!J$16,M92)</f>
        <v>100</v>
      </c>
      <c r="N95" s="29">
        <f>MIN(Data!K$16,N92)</f>
        <v>100</v>
      </c>
      <c r="O95" s="29">
        <f>MIN(Data!L$16,O92)</f>
        <v>100</v>
      </c>
      <c r="P95" s="29">
        <f>MIN(Data!M$16,P92)</f>
        <v>100</v>
      </c>
      <c r="Q95" s="29">
        <f>MIN(Data!N$16,Q92)</f>
        <v>100</v>
      </c>
      <c r="R95" s="29">
        <f>MIN(Data!O$16,R92)</f>
        <v>100</v>
      </c>
      <c r="S95" s="29">
        <f>MIN(Data!P$16,S92)</f>
        <v>100</v>
      </c>
      <c r="T95" s="29">
        <f>MIN(Data!Q$16,T92)</f>
        <v>100</v>
      </c>
      <c r="U95" s="29">
        <f>MIN(Data!R$16,U92)</f>
        <v>100</v>
      </c>
      <c r="V95" s="29">
        <f>MIN(Data!S$16,V92)</f>
        <v>100</v>
      </c>
      <c r="W95" s="29">
        <f>MIN(Data!T$16,W92)</f>
        <v>100</v>
      </c>
      <c r="X95" s="29">
        <f>MIN(Data!U$16,X92)</f>
        <v>100</v>
      </c>
      <c r="Y95" s="29">
        <f>MIN(Data!V$16,Y92)</f>
        <v>100</v>
      </c>
      <c r="Z95" s="29">
        <f>MIN(Data!W$16,Z92)</f>
        <v>100</v>
      </c>
      <c r="AA95" s="29">
        <f>MIN(Data!X$16,AA92)</f>
        <v>100</v>
      </c>
      <c r="AB95" s="29">
        <f>MIN(Data!Y$16,AB92)</f>
        <v>100</v>
      </c>
      <c r="AC95" s="29">
        <f>MIN(Data!Z$16,AC92)</f>
        <v>100</v>
      </c>
      <c r="AD95" s="29">
        <f>MIN(Data!AA$16,AD92)</f>
        <v>100</v>
      </c>
    </row>
    <row r="96" spans="2:30" x14ac:dyDescent="0.35">
      <c r="C96" s="15" t="s">
        <v>195</v>
      </c>
      <c r="D96" s="22"/>
      <c r="E96" s="22" t="s">
        <v>196</v>
      </c>
      <c r="F96" s="18" t="s">
        <v>194</v>
      </c>
      <c r="G96" s="18"/>
      <c r="H96" s="29" t="str">
        <f>IF(H95=Data!E$16,Data!$B$16,$C91)</f>
        <v>Tier 1 Remedial Unit Cost</v>
      </c>
      <c r="I96" s="29" t="str">
        <f>IF(I95=Data!F$16,Data!$B$16,$C91)</f>
        <v>Tier 1 Remedial Unit Cost</v>
      </c>
      <c r="J96" s="29" t="str">
        <f>IF(J95=Data!G$16,Data!$B$16,$C91)</f>
        <v>Tier 1 Remedial Unit Cost</v>
      </c>
      <c r="K96" s="29" t="str">
        <f>IF(K95=Data!H$16,Data!$B$16,$C91)</f>
        <v>Tier 1 Remedial Unit Cost</v>
      </c>
      <c r="L96" s="29" t="str">
        <f>IF(L95=Data!I$16,Data!$B$16,$C91)</f>
        <v>Tier 1 Remedial Unit Cost</v>
      </c>
      <c r="M96" s="29" t="str">
        <f>IF(M95=Data!J$16,Data!$B$16,$C91)</f>
        <v>Tier 1 Remedial Unit Cost</v>
      </c>
      <c r="N96" s="29" t="str">
        <f>IF(N95=Data!K$16,Data!$B$16,$C91)</f>
        <v>Tier 1 Remedial Unit Cost</v>
      </c>
      <c r="O96" s="29" t="str">
        <f>IF(O95=Data!L$16,Data!$B$16,$C91)</f>
        <v>Tier 1 Remedial Unit Cost</v>
      </c>
      <c r="P96" s="29" t="str">
        <f>IF(P95=Data!M$16,Data!$B$16,$C91)</f>
        <v>Tier 1 Remedial Unit Cost</v>
      </c>
      <c r="Q96" s="29" t="str">
        <f>IF(Q95=Data!N$16,Data!$B$16,$C91)</f>
        <v>Tier 1 Remedial Unit Cost</v>
      </c>
      <c r="R96" s="29" t="str">
        <f>IF(R95=Data!O$16,Data!$B$16,$C91)</f>
        <v>Tier 1 Remedial Unit Cost</v>
      </c>
      <c r="S96" s="29" t="str">
        <f>IF(S95=Data!P$16,Data!$B$16,$C91)</f>
        <v>Tier 1 Remedial Unit Cost</v>
      </c>
      <c r="T96" s="29" t="str">
        <f>IF(T95=Data!Q$16,Data!$B$16,$C91)</f>
        <v>Tier 1 Remedial Unit Cost</v>
      </c>
      <c r="U96" s="29" t="str">
        <f>IF(U95=Data!R$16,Data!$B$16,$C91)</f>
        <v>Tier 1 Remedial Unit Cost</v>
      </c>
      <c r="V96" s="29" t="str">
        <f>IF(V95=Data!S$16,Data!$B$16,$C91)</f>
        <v>Tier 1 Remedial Unit Cost</v>
      </c>
      <c r="W96" s="29" t="str">
        <f>IF(W95=Data!T$16,Data!$B$16,$C91)</f>
        <v>Tier 1 Remedial Unit Cost</v>
      </c>
      <c r="X96" s="29" t="str">
        <f>IF(X95=Data!U$16,Data!$B$16,$C91)</f>
        <v>Tier 1 Remedial Unit Cost</v>
      </c>
      <c r="Y96" s="29" t="str">
        <f>IF(Y95=Data!V$16,Data!$B$16,$C91)</f>
        <v>Tier 1 Remedial Unit Cost</v>
      </c>
      <c r="Z96" s="29" t="str">
        <f>IF(Z95=Data!W$16,Data!$B$16,$C91)</f>
        <v>Tier 1 Remedial Unit Cost</v>
      </c>
      <c r="AA96" s="29" t="str">
        <f>IF(AA95=Data!X$16,Data!$B$16,$C91)</f>
        <v>Tier 1 Remedial Unit Cost</v>
      </c>
      <c r="AB96" s="29" t="str">
        <f>IF(AB95=Data!Y$16,Data!$B$16,$C91)</f>
        <v>Tier 1 Remedial Unit Cost</v>
      </c>
      <c r="AC96" s="29" t="str">
        <f>IF(AC95=Data!Z$16,Data!$B$16,$C91)</f>
        <v>Tier 1 Remedial Unit Cost</v>
      </c>
      <c r="AD96" s="29" t="str">
        <f>IF(AD95=Data!AA$16,Data!$B$16,$C91)</f>
        <v>Tier 1 Remedial Unit Cost</v>
      </c>
    </row>
    <row r="97" spans="2:30" x14ac:dyDescent="0.35">
      <c r="C97" s="15" t="s">
        <v>203</v>
      </c>
      <c r="D97" s="22"/>
      <c r="E97" s="22" t="s">
        <v>198</v>
      </c>
      <c r="F97" s="18" t="s">
        <v>194</v>
      </c>
      <c r="G97" s="18" t="s">
        <v>145</v>
      </c>
      <c r="H97" s="29">
        <f>IF(H96=Data!$B$16,H$17,H$91*H$14)</f>
        <v>48.758580000000016</v>
      </c>
      <c r="I97" s="29">
        <f>IF(I96=Data!$B$16,I$17,I$91*I$14)</f>
        <v>48.758580000000016</v>
      </c>
      <c r="J97" s="29">
        <f>IF(J96=Data!$B$16,J$17,J$91*J$14)</f>
        <v>48.758579999999959</v>
      </c>
      <c r="K97" s="29">
        <f>IF(K96=Data!$B$16,K$17,K$91*K$14)</f>
        <v>48.758580000000016</v>
      </c>
      <c r="L97" s="29">
        <f>IF(L96=Data!$B$16,L$17,L$91*L$14)</f>
        <v>48.758579999999959</v>
      </c>
      <c r="M97" s="29">
        <f>IF(M96=Data!$B$16,M$17,M$91*M$14)</f>
        <v>48.758579999999959</v>
      </c>
      <c r="N97" s="29">
        <f>IF(N96=Data!$B$16,N$17,N$91*N$14)</f>
        <v>48.758580000000016</v>
      </c>
      <c r="O97" s="29">
        <f>IF(O96=Data!$B$16,O$17,O$91*O$14)</f>
        <v>48.758579999999988</v>
      </c>
      <c r="P97" s="29">
        <f>IF(P96=Data!$B$16,P$17,P$91*P$14)</f>
        <v>48.758580000000016</v>
      </c>
      <c r="Q97" s="29">
        <f>IF(Q96=Data!$B$16,Q$17,Q$91*Q$14)</f>
        <v>48.758579999999988</v>
      </c>
      <c r="R97" s="29">
        <f>IF(R96=Data!$B$16,R$17,R$91*R$14)</f>
        <v>48.758579999999988</v>
      </c>
      <c r="S97" s="29">
        <f>IF(S96=Data!$B$16,S$17,S$91*S$14)</f>
        <v>48.758580000000009</v>
      </c>
      <c r="T97" s="29">
        <f>IF(T96=Data!$B$16,T$17,T$91*T$14)</f>
        <v>48.758580000000009</v>
      </c>
      <c r="U97" s="29">
        <f>IF(U96=Data!$B$16,U$17,U$91*U$14)</f>
        <v>48.758580000000009</v>
      </c>
      <c r="V97" s="29">
        <f>IF(V96=Data!$B$16,V$17,V$91*V$14)</f>
        <v>48.758580000000009</v>
      </c>
      <c r="W97" s="29">
        <f>IF(W96=Data!$B$16,W$17,W$91*W$14)</f>
        <v>48.758580000000009</v>
      </c>
      <c r="X97" s="29">
        <f>IF(X96=Data!$B$16,X$17,X$91*X$14)</f>
        <v>48.758580000000009</v>
      </c>
      <c r="Y97" s="29">
        <f>IF(Y96=Data!$B$16,Y$17,Y$91*Y$14)</f>
        <v>48.758579999999988</v>
      </c>
      <c r="Z97" s="29">
        <f>IF(Z96=Data!$B$16,Z$17,Z$91*Z$14)</f>
        <v>48.758579999999995</v>
      </c>
      <c r="AA97" s="29">
        <f>IF(AA96=Data!$B$16,AA$17,AA$91*AA$14)</f>
        <v>48.758579999999995</v>
      </c>
      <c r="AB97" s="29">
        <f>IF(AB96=Data!$B$16,AB$17,AB$91*AB$14)</f>
        <v>41.257259999999782</v>
      </c>
      <c r="AC97" s="29">
        <f>IF(AC96=Data!$B$16,AC$17,AC$91*AC$14)</f>
        <v>30.005279999999356</v>
      </c>
      <c r="AD97" s="29">
        <f>IF(AD96=Data!$B$16,AD$17,AD$91*AD$14)</f>
        <v>18.753299999998934</v>
      </c>
    </row>
    <row r="98" spans="2:30" x14ac:dyDescent="0.35">
      <c r="C98" s="15" t="s">
        <v>230</v>
      </c>
      <c r="D98" s="22"/>
      <c r="E98" s="22"/>
      <c r="F98" s="18"/>
      <c r="G98" s="18"/>
      <c r="H98" s="29">
        <f>IF(H93=Data!$B$15,H11,IF(H96=Data!$B$16,H4,H5))</f>
        <v>95.628110000000007</v>
      </c>
      <c r="I98" s="29">
        <f>IF(I93=Data!$B$15,I11,IF(I96=Data!$B$16,I4,I5))</f>
        <v>95.628110000000007</v>
      </c>
      <c r="J98" s="29">
        <f>IF(J93=Data!$B$15,J11,IF(J96=Data!$B$16,J4,J5))</f>
        <v>95.628110000000007</v>
      </c>
      <c r="K98" s="29">
        <f>IF(K93=Data!$B$15,K11,IF(K96=Data!$B$16,K4,K5))</f>
        <v>95.628110000000007</v>
      </c>
      <c r="L98" s="29">
        <f>IF(L93=Data!$B$15,L11,IF(L96=Data!$B$16,L4,L5))</f>
        <v>95.628110000000007</v>
      </c>
      <c r="M98" s="29">
        <f>IF(M93=Data!$B$15,M11,IF(M96=Data!$B$16,M4,M5))</f>
        <v>95.628110000000007</v>
      </c>
      <c r="N98" s="29">
        <f>IF(N93=Data!$B$15,N11,IF(N96=Data!$B$16,N4,N5))</f>
        <v>95.628110000000007</v>
      </c>
      <c r="O98" s="29">
        <f>IF(O93=Data!$B$15,O11,IF(O96=Data!$B$16,O4,O5))</f>
        <v>95.628110000000007</v>
      </c>
      <c r="P98" s="29">
        <f>IF(P93=Data!$B$15,P11,IF(P96=Data!$B$16,P4,P5))</f>
        <v>95.628110000000007</v>
      </c>
      <c r="Q98" s="29">
        <f>IF(Q93=Data!$B$15,Q11,IF(Q96=Data!$B$16,Q4,Q5))</f>
        <v>95.628110000000007</v>
      </c>
      <c r="R98" s="29">
        <f>IF(R93=Data!$B$15,R11,IF(R96=Data!$B$16,R4,R5))</f>
        <v>95.628110000000007</v>
      </c>
      <c r="S98" s="29">
        <f>IF(S93=Data!$B$15,S11,IF(S96=Data!$B$16,S4,S5))</f>
        <v>95.628110000000007</v>
      </c>
      <c r="T98" s="29">
        <f>IF(T93=Data!$B$15,T11,IF(T96=Data!$B$16,T4,T5))</f>
        <v>95.628110000000007</v>
      </c>
      <c r="U98" s="29">
        <f>IF(U93=Data!$B$15,U11,IF(U96=Data!$B$16,U4,U5))</f>
        <v>95.628110000000007</v>
      </c>
      <c r="V98" s="29">
        <f>IF(V93=Data!$B$15,V11,IF(V96=Data!$B$16,V4,V5))</f>
        <v>95.628110000000007</v>
      </c>
      <c r="W98" s="29">
        <f>IF(W93=Data!$B$15,W11,IF(W96=Data!$B$16,W4,W5))</f>
        <v>95.628110000000007</v>
      </c>
      <c r="X98" s="29">
        <f>IF(X93=Data!$B$15,X11,IF(X96=Data!$B$16,X4,X5))</f>
        <v>95.628110000000007</v>
      </c>
      <c r="Y98" s="29">
        <f>IF(Y93=Data!$B$15,Y11,IF(Y96=Data!$B$16,Y4,Y5))</f>
        <v>95.628110000000007</v>
      </c>
      <c r="Z98" s="29">
        <f>IF(Z93=Data!$B$15,Z11,IF(Z96=Data!$B$16,Z4,Z5))</f>
        <v>95.628110000000007</v>
      </c>
      <c r="AA98" s="29">
        <f>IF(AA93=Data!$B$15,AA11,IF(AA96=Data!$B$16,AA4,AA5))</f>
        <v>95.628110000000007</v>
      </c>
      <c r="AB98" s="29">
        <f>IF(AB93=Data!$B$15,AB11,IF(AB96=Data!$B$16,AB4,AB5))</f>
        <v>95.628110000000007</v>
      </c>
      <c r="AC98" s="29">
        <f>IF(AC93=Data!$B$15,AC11,IF(AC96=Data!$B$16,AC4,AC5))</f>
        <v>95.628110000000007</v>
      </c>
      <c r="AD98" s="29">
        <f>IF(AD93=Data!$B$15,AD11,IF(AD96=Data!$B$16,AD4,AD5))</f>
        <v>95.628110000000007</v>
      </c>
    </row>
    <row r="99" spans="2:30" x14ac:dyDescent="0.35">
      <c r="B99" s="81" t="s">
        <v>231</v>
      </c>
      <c r="C99" s="15" t="s">
        <v>232</v>
      </c>
      <c r="D99" s="22"/>
      <c r="E99" s="22"/>
      <c r="F99" s="18" t="s">
        <v>233</v>
      </c>
      <c r="G99" s="18" t="s">
        <v>104</v>
      </c>
      <c r="H99" s="29">
        <f>(H98-Data!$D$5)*Data!$E$6</f>
        <v>9.3590022000000384E-2</v>
      </c>
      <c r="I99" s="29">
        <f>(I98-Data!$D$5)*Data!$E$6</f>
        <v>9.3590022000000384E-2</v>
      </c>
      <c r="J99" s="29">
        <f>(J98-Data!$D$5)*Data!$E$6</f>
        <v>9.3590022000000384E-2</v>
      </c>
      <c r="K99" s="29">
        <f>(K98-Data!$D$5)*Data!$E$6</f>
        <v>9.3590022000000384E-2</v>
      </c>
      <c r="L99" s="29">
        <f>(L98-Data!$D$5)*Data!$E$6</f>
        <v>9.3590022000000384E-2</v>
      </c>
      <c r="M99" s="29">
        <f>(M98-Data!$D$5)*Data!$E$6</f>
        <v>9.3590022000000384E-2</v>
      </c>
      <c r="N99" s="29">
        <f>(N98-Data!$D$5)*Data!$E$6</f>
        <v>9.3590022000000384E-2</v>
      </c>
      <c r="O99" s="29">
        <f>(O98-Data!$D$5)*Data!$E$6</f>
        <v>9.3590022000000384E-2</v>
      </c>
      <c r="P99" s="29">
        <f>(P98-Data!$D$5)*Data!$E$6</f>
        <v>9.3590022000000384E-2</v>
      </c>
      <c r="Q99" s="29">
        <f>(Q98-Data!$D$5)*Data!$E$6</f>
        <v>9.3590022000000384E-2</v>
      </c>
      <c r="R99" s="29">
        <f>(R98-Data!$D$5)*Data!$E$6</f>
        <v>9.3590022000000384E-2</v>
      </c>
      <c r="S99" s="29">
        <f>(S98-Data!$D$5)*Data!$E$6</f>
        <v>9.3590022000000384E-2</v>
      </c>
      <c r="T99" s="29">
        <f>(T98-Data!$D$5)*Data!$E$6</f>
        <v>9.3590022000000384E-2</v>
      </c>
      <c r="U99" s="29">
        <f>(U98-Data!$D$5)*Data!$E$6</f>
        <v>9.3590022000000384E-2</v>
      </c>
      <c r="V99" s="29">
        <f>(V98-Data!$D$5)*Data!$E$6</f>
        <v>9.3590022000000384E-2</v>
      </c>
      <c r="W99" s="29">
        <f>(W98-Data!$D$5)*Data!$E$6</f>
        <v>9.3590022000000384E-2</v>
      </c>
      <c r="X99" s="29">
        <f>(X98-Data!$D$5)*Data!$E$6</f>
        <v>9.3590022000000384E-2</v>
      </c>
      <c r="Y99" s="29">
        <f>(Y98-Data!$D$5)*Data!$E$6</f>
        <v>9.3590022000000384E-2</v>
      </c>
      <c r="Z99" s="29">
        <f>(Z98-Data!$D$5)*Data!$E$6</f>
        <v>9.3590022000000384E-2</v>
      </c>
      <c r="AA99" s="29">
        <f>(AA98-Data!$D$5)*Data!$E$6</f>
        <v>9.3590022000000384E-2</v>
      </c>
      <c r="AB99" s="29">
        <f>(AB98-Data!$D$5)*Data!$E$6</f>
        <v>9.3590022000000384E-2</v>
      </c>
      <c r="AC99" s="29">
        <f>(AC98-Data!$D$5)*Data!$E$6</f>
        <v>9.3590022000000384E-2</v>
      </c>
      <c r="AD99" s="29">
        <f>(AD98-Data!$D$5)*Data!$E$6</f>
        <v>9.3590022000000384E-2</v>
      </c>
    </row>
    <row r="100" spans="2:30" x14ac:dyDescent="0.35">
      <c r="C100" s="15" t="s">
        <v>234</v>
      </c>
      <c r="D100" s="22"/>
      <c r="E100" s="22" t="s">
        <v>235</v>
      </c>
      <c r="F100" s="18" t="s">
        <v>236</v>
      </c>
      <c r="G100" s="18" t="s">
        <v>145</v>
      </c>
      <c r="H100" s="29">
        <f>H99*H$6</f>
        <v>18.718004400000076</v>
      </c>
      <c r="I100" s="29">
        <f t="shared" ref="I100" si="50">I99*I$6</f>
        <v>18.718004400000076</v>
      </c>
      <c r="J100" s="29">
        <f t="shared" ref="J100" si="51">J99*J$6</f>
        <v>16.378253850000068</v>
      </c>
      <c r="K100" s="29">
        <f t="shared" ref="K100" si="52">K99*K$6</f>
        <v>14.038503300000057</v>
      </c>
      <c r="L100" s="29">
        <f t="shared" ref="L100" si="53">L99*L$6</f>
        <v>11.698752750000049</v>
      </c>
      <c r="M100" s="29">
        <f>M99*M$6</f>
        <v>9.3590022000000381</v>
      </c>
      <c r="N100" s="29">
        <f t="shared" ref="N100" si="54">N99*N$6</f>
        <v>7.0192516500000286</v>
      </c>
      <c r="O100" s="29">
        <f t="shared" ref="O100" si="55">O99*O$6</f>
        <v>4.6795011000000191</v>
      </c>
      <c r="P100" s="29">
        <f t="shared" ref="P100" si="56">P99*P$6</f>
        <v>3.9775759350000164</v>
      </c>
      <c r="Q100" s="29">
        <f t="shared" ref="Q100" si="57">Q99*Q$6</f>
        <v>3.2756507700000133</v>
      </c>
      <c r="R100" s="29">
        <f t="shared" ref="R100" si="58">R99*R$6</f>
        <v>2.5737256050000106</v>
      </c>
      <c r="S100" s="29">
        <f t="shared" ref="S100" si="59">S99*S$6</f>
        <v>1.8718004400000077</v>
      </c>
      <c r="T100" s="29">
        <f t="shared" ref="T100" si="60">T99*T$6</f>
        <v>1.1698752750000048</v>
      </c>
      <c r="U100" s="29">
        <f t="shared" ref="U100" si="61">U99*U$6</f>
        <v>1.0762852530000044</v>
      </c>
      <c r="V100" s="29">
        <f t="shared" ref="V100" si="62">V99*V$6</f>
        <v>0.982695231000004</v>
      </c>
      <c r="W100" s="29">
        <f t="shared" ref="W100" si="63">W99*W$6</f>
        <v>0.88910520900000367</v>
      </c>
      <c r="X100" s="29">
        <f t="shared" ref="X100" si="64">X99*X$6</f>
        <v>0.79551518700000323</v>
      </c>
      <c r="Y100" s="29">
        <f t="shared" ref="Y100" si="65">Y99*Y$6</f>
        <v>0.7019251650000029</v>
      </c>
      <c r="Z100" s="29">
        <f t="shared" ref="Z100" si="66">Z99*Z$6</f>
        <v>0.60833514300000247</v>
      </c>
      <c r="AA100" s="29">
        <f t="shared" ref="AA100" si="67">AA99*AA$6</f>
        <v>0.51474512100000214</v>
      </c>
      <c r="AB100" s="29">
        <f t="shared" ref="AB100" si="68">AB99*AB$6</f>
        <v>0.4211550990000017</v>
      </c>
      <c r="AC100" s="29">
        <f t="shared" ref="AC100" si="69">AC99*AC$6</f>
        <v>0.32756507700000137</v>
      </c>
      <c r="AD100" s="29">
        <f t="shared" ref="AD100" si="70">AD99*AD$6</f>
        <v>0.23397505500000096</v>
      </c>
    </row>
    <row r="101" spans="2:30" x14ac:dyDescent="0.35">
      <c r="B101" s="81" t="s">
        <v>204</v>
      </c>
      <c r="C101" s="19" t="s">
        <v>74</v>
      </c>
      <c r="D101" s="87"/>
      <c r="E101" s="87" t="s">
        <v>205</v>
      </c>
      <c r="F101" s="88"/>
      <c r="G101" s="88" t="s">
        <v>145</v>
      </c>
      <c r="H101" s="116">
        <f>H15*Data!$E$6*1000</f>
        <v>572.49873786407636</v>
      </c>
      <c r="I101" s="116">
        <f>I15*Data!$E$6*1000</f>
        <v>556.72121359222888</v>
      </c>
      <c r="J101" s="116">
        <f>J15*Data!$E$6*1000</f>
        <v>540.94368932038833</v>
      </c>
      <c r="K101" s="116">
        <f>K15*Data!$E$6*1000</f>
        <v>540.94368932038833</v>
      </c>
      <c r="L101" s="116">
        <f>L15*Data!$E$6*1000</f>
        <v>540.94368932038833</v>
      </c>
      <c r="M101" s="116">
        <f>M15*Data!$E$6*1000</f>
        <v>540.94368932038833</v>
      </c>
      <c r="N101" s="116">
        <f>N15*Data!$E$6*1000</f>
        <v>540.94368932038833</v>
      </c>
      <c r="O101" s="116">
        <f>O15*Data!$E$6*1000</f>
        <v>540.94368932038833</v>
      </c>
      <c r="P101" s="116">
        <f>P15*Data!$E$6*1000</f>
        <v>540.94368932038833</v>
      </c>
      <c r="Q101" s="116">
        <f>Q15*Data!$E$6*1000</f>
        <v>540.94368932038833</v>
      </c>
      <c r="R101" s="116">
        <f>R15*Data!$E$6*1000</f>
        <v>540.94368932038833</v>
      </c>
      <c r="S101" s="116">
        <f>S15*Data!$E$6*1000</f>
        <v>540.94368932038833</v>
      </c>
      <c r="T101" s="116">
        <f>T15*Data!$E$6*1000</f>
        <v>540.94368932038833</v>
      </c>
      <c r="U101" s="116">
        <f>U15*Data!$E$6*1000</f>
        <v>540.94368932038833</v>
      </c>
      <c r="V101" s="116">
        <f>V15*Data!$E$6*1000</f>
        <v>540.94368932038833</v>
      </c>
      <c r="W101" s="116">
        <f>W15*Data!$E$6*1000</f>
        <v>540.94368932038833</v>
      </c>
      <c r="X101" s="116">
        <f>X15*Data!$E$6*1000</f>
        <v>540.94368932038833</v>
      </c>
      <c r="Y101" s="116">
        <f>Y15*Data!$E$6*1000</f>
        <v>540.94368932038833</v>
      </c>
      <c r="Z101" s="116">
        <f>Z15*Data!$E$6*1000</f>
        <v>540.94368932038833</v>
      </c>
      <c r="AA101" s="116">
        <f>AA15*Data!$E$6*1000</f>
        <v>540.94368932038833</v>
      </c>
      <c r="AB101" s="116">
        <f>AB15*Data!$E$6*1000</f>
        <v>540.94368932038833</v>
      </c>
      <c r="AC101" s="116">
        <f>AC15*Data!$E$6*1000</f>
        <v>540.94368932038833</v>
      </c>
      <c r="AD101" s="116">
        <f>AD15*Data!$E$6*1000</f>
        <v>540.94368932038833</v>
      </c>
    </row>
    <row r="102" spans="2:30" x14ac:dyDescent="0.35">
      <c r="C102" s="19" t="s">
        <v>81</v>
      </c>
      <c r="D102" s="87"/>
      <c r="E102" s="87" t="s">
        <v>237</v>
      </c>
      <c r="F102" s="88"/>
      <c r="G102" s="88" t="s">
        <v>145</v>
      </c>
      <c r="H102" s="116">
        <f t="shared" ref="H102:AD102" si="71">H94</f>
        <v>92.574240360000132</v>
      </c>
      <c r="I102" s="116">
        <f t="shared" si="71"/>
        <v>121.07925636000013</v>
      </c>
      <c r="J102" s="116">
        <f t="shared" si="71"/>
        <v>149.58427236000011</v>
      </c>
      <c r="K102" s="116">
        <f t="shared" si="71"/>
        <v>212.29530756000008</v>
      </c>
      <c r="L102" s="116">
        <f t="shared" si="71"/>
        <v>275.00634276000022</v>
      </c>
      <c r="M102" s="116">
        <f t="shared" si="71"/>
        <v>337.71737796000019</v>
      </c>
      <c r="N102" s="116">
        <f t="shared" si="71"/>
        <v>400.42841316000016</v>
      </c>
      <c r="O102" s="116">
        <f t="shared" si="71"/>
        <v>463.13944836001639</v>
      </c>
      <c r="P102" s="116">
        <f t="shared" si="71"/>
        <v>562.90700436000657</v>
      </c>
      <c r="Q102" s="116">
        <f t="shared" si="71"/>
        <v>662.6745603599968</v>
      </c>
      <c r="R102" s="116">
        <f t="shared" si="71"/>
        <v>762.44211636002774</v>
      </c>
      <c r="S102" s="116">
        <f t="shared" si="71"/>
        <v>862.20967236001786</v>
      </c>
      <c r="T102" s="116">
        <f t="shared" si="71"/>
        <v>961.97722836000821</v>
      </c>
      <c r="U102" s="116">
        <f t="shared" si="71"/>
        <v>1004.7347523599997</v>
      </c>
      <c r="V102" s="116">
        <f t="shared" si="71"/>
        <v>1047.4922763600014</v>
      </c>
      <c r="W102" s="116">
        <f t="shared" si="71"/>
        <v>1090.2498003600031</v>
      </c>
      <c r="X102" s="116">
        <f t="shared" si="71"/>
        <v>1133.0073243600045</v>
      </c>
      <c r="Y102" s="116">
        <f t="shared" si="71"/>
        <v>1175.764848359996</v>
      </c>
      <c r="Z102" s="116">
        <f t="shared" si="71"/>
        <v>1218.5223723599975</v>
      </c>
      <c r="AA102" s="116">
        <f t="shared" si="71"/>
        <v>1261.2798963599992</v>
      </c>
      <c r="AB102" s="116">
        <f t="shared" si="71"/>
        <v>1304.0374203600009</v>
      </c>
      <c r="AC102" s="116">
        <f t="shared" si="71"/>
        <v>1346.7949443600025</v>
      </c>
      <c r="AD102" s="116">
        <f t="shared" si="71"/>
        <v>1389.552468360004</v>
      </c>
    </row>
    <row r="103" spans="2:30" x14ac:dyDescent="0.35">
      <c r="C103" s="19" t="s">
        <v>85</v>
      </c>
      <c r="D103" s="87"/>
      <c r="E103" s="87" t="s">
        <v>221</v>
      </c>
      <c r="F103" s="88"/>
      <c r="G103" s="88" t="s">
        <v>145</v>
      </c>
      <c r="H103" s="116">
        <f t="shared" ref="H103:AD103" si="72">H97</f>
        <v>48.758580000000016</v>
      </c>
      <c r="I103" s="116">
        <f t="shared" si="72"/>
        <v>48.758580000000016</v>
      </c>
      <c r="J103" s="116">
        <f t="shared" si="72"/>
        <v>48.758579999999959</v>
      </c>
      <c r="K103" s="116">
        <f t="shared" si="72"/>
        <v>48.758580000000016</v>
      </c>
      <c r="L103" s="116">
        <f t="shared" si="72"/>
        <v>48.758579999999959</v>
      </c>
      <c r="M103" s="116">
        <f t="shared" si="72"/>
        <v>48.758579999999959</v>
      </c>
      <c r="N103" s="116">
        <f t="shared" si="72"/>
        <v>48.758580000000016</v>
      </c>
      <c r="O103" s="116">
        <f t="shared" si="72"/>
        <v>48.758579999999988</v>
      </c>
      <c r="P103" s="116">
        <f t="shared" si="72"/>
        <v>48.758580000000016</v>
      </c>
      <c r="Q103" s="116">
        <f t="shared" si="72"/>
        <v>48.758579999999988</v>
      </c>
      <c r="R103" s="116">
        <f t="shared" si="72"/>
        <v>48.758579999999988</v>
      </c>
      <c r="S103" s="116">
        <f t="shared" si="72"/>
        <v>48.758580000000009</v>
      </c>
      <c r="T103" s="116">
        <f t="shared" si="72"/>
        <v>48.758580000000009</v>
      </c>
      <c r="U103" s="116">
        <f t="shared" si="72"/>
        <v>48.758580000000009</v>
      </c>
      <c r="V103" s="116">
        <f t="shared" si="72"/>
        <v>48.758580000000009</v>
      </c>
      <c r="W103" s="116">
        <f t="shared" si="72"/>
        <v>48.758580000000009</v>
      </c>
      <c r="X103" s="116">
        <f t="shared" si="72"/>
        <v>48.758580000000009</v>
      </c>
      <c r="Y103" s="116">
        <f t="shared" si="72"/>
        <v>48.758579999999988</v>
      </c>
      <c r="Z103" s="116">
        <f t="shared" si="72"/>
        <v>48.758579999999995</v>
      </c>
      <c r="AA103" s="116">
        <f t="shared" si="72"/>
        <v>48.758579999999995</v>
      </c>
      <c r="AB103" s="116">
        <f t="shared" si="72"/>
        <v>41.257259999999782</v>
      </c>
      <c r="AC103" s="116">
        <f t="shared" si="72"/>
        <v>30.005279999999356</v>
      </c>
      <c r="AD103" s="116">
        <f t="shared" si="72"/>
        <v>18.753299999998934</v>
      </c>
    </row>
    <row r="104" spans="2:30" ht="15" thickBot="1" x14ac:dyDescent="0.4">
      <c r="C104" s="89" t="s">
        <v>91</v>
      </c>
      <c r="D104" s="90"/>
      <c r="E104" s="90"/>
      <c r="F104" s="91"/>
      <c r="G104" s="91" t="s">
        <v>145</v>
      </c>
      <c r="H104" s="117">
        <f>H100</f>
        <v>18.718004400000076</v>
      </c>
      <c r="I104" s="117">
        <f t="shared" ref="I104:AD104" si="73">I100</f>
        <v>18.718004400000076</v>
      </c>
      <c r="J104" s="117">
        <f t="shared" si="73"/>
        <v>16.378253850000068</v>
      </c>
      <c r="K104" s="117">
        <f t="shared" si="73"/>
        <v>14.038503300000057</v>
      </c>
      <c r="L104" s="117">
        <f t="shared" si="73"/>
        <v>11.698752750000049</v>
      </c>
      <c r="M104" s="117">
        <f>M100</f>
        <v>9.3590022000000381</v>
      </c>
      <c r="N104" s="117">
        <f t="shared" si="73"/>
        <v>7.0192516500000286</v>
      </c>
      <c r="O104" s="117">
        <f t="shared" si="73"/>
        <v>4.6795011000000191</v>
      </c>
      <c r="P104" s="117">
        <f t="shared" si="73"/>
        <v>3.9775759350000164</v>
      </c>
      <c r="Q104" s="117">
        <f t="shared" si="73"/>
        <v>3.2756507700000133</v>
      </c>
      <c r="R104" s="117">
        <f t="shared" si="73"/>
        <v>2.5737256050000106</v>
      </c>
      <c r="S104" s="117">
        <f t="shared" si="73"/>
        <v>1.8718004400000077</v>
      </c>
      <c r="T104" s="117">
        <f t="shared" si="73"/>
        <v>1.1698752750000048</v>
      </c>
      <c r="U104" s="117">
        <f t="shared" si="73"/>
        <v>1.0762852530000044</v>
      </c>
      <c r="V104" s="117">
        <f t="shared" si="73"/>
        <v>0.982695231000004</v>
      </c>
      <c r="W104" s="117">
        <f t="shared" si="73"/>
        <v>0.88910520900000367</v>
      </c>
      <c r="X104" s="117">
        <f t="shared" si="73"/>
        <v>0.79551518700000323</v>
      </c>
      <c r="Y104" s="117">
        <f t="shared" si="73"/>
        <v>0.7019251650000029</v>
      </c>
      <c r="Z104" s="117">
        <f t="shared" si="73"/>
        <v>0.60833514300000247</v>
      </c>
      <c r="AA104" s="117">
        <f t="shared" si="73"/>
        <v>0.51474512100000214</v>
      </c>
      <c r="AB104" s="117">
        <f t="shared" si="73"/>
        <v>0.4211550990000017</v>
      </c>
      <c r="AC104" s="117">
        <f t="shared" si="73"/>
        <v>0.32756507700000137</v>
      </c>
      <c r="AD104" s="117">
        <f t="shared" si="73"/>
        <v>0.23397505500000096</v>
      </c>
    </row>
    <row r="105" spans="2:30" ht="15" thickTop="1" x14ac:dyDescent="0.35">
      <c r="C105" s="92" t="s">
        <v>94</v>
      </c>
      <c r="D105" s="87"/>
      <c r="E105" s="22"/>
      <c r="F105" s="18" t="s">
        <v>222</v>
      </c>
      <c r="G105" s="88" t="s">
        <v>145</v>
      </c>
      <c r="H105" s="116">
        <f t="shared" ref="H105:AD105" si="74">SUM(H101:H104)</f>
        <v>732.54956262407654</v>
      </c>
      <c r="I105" s="116">
        <f t="shared" si="74"/>
        <v>745.27705435222913</v>
      </c>
      <c r="J105" s="116">
        <f t="shared" si="74"/>
        <v>755.66479553038846</v>
      </c>
      <c r="K105" s="116">
        <f t="shared" si="74"/>
        <v>816.03608018038847</v>
      </c>
      <c r="L105" s="116">
        <f t="shared" si="74"/>
        <v>876.40736483038859</v>
      </c>
      <c r="M105" s="116">
        <f t="shared" si="74"/>
        <v>936.77864948038859</v>
      </c>
      <c r="N105" s="116">
        <f t="shared" si="74"/>
        <v>997.1499341303886</v>
      </c>
      <c r="O105" s="116">
        <f t="shared" si="74"/>
        <v>1057.5212187804045</v>
      </c>
      <c r="P105" s="116">
        <f t="shared" si="74"/>
        <v>1156.5868496153948</v>
      </c>
      <c r="Q105" s="116">
        <f t="shared" si="74"/>
        <v>1255.6524804503852</v>
      </c>
      <c r="R105" s="116">
        <f t="shared" si="74"/>
        <v>1354.7181112854159</v>
      </c>
      <c r="S105" s="116">
        <f t="shared" si="74"/>
        <v>1453.7837421204063</v>
      </c>
      <c r="T105" s="116">
        <f t="shared" si="74"/>
        <v>1552.8493729553966</v>
      </c>
      <c r="U105" s="116">
        <f t="shared" si="74"/>
        <v>1595.5133069333879</v>
      </c>
      <c r="V105" s="116">
        <f t="shared" si="74"/>
        <v>1638.1772409113896</v>
      </c>
      <c r="W105" s="116">
        <f t="shared" si="74"/>
        <v>1680.8411748893914</v>
      </c>
      <c r="X105" s="116">
        <f t="shared" si="74"/>
        <v>1723.5051088673929</v>
      </c>
      <c r="Y105" s="116">
        <f t="shared" si="74"/>
        <v>1766.1690428453842</v>
      </c>
      <c r="Z105" s="116">
        <f t="shared" si="74"/>
        <v>1808.8329768233857</v>
      </c>
      <c r="AA105" s="116">
        <f t="shared" si="74"/>
        <v>1851.4969108013875</v>
      </c>
      <c r="AB105" s="116">
        <f t="shared" si="74"/>
        <v>1886.6595247793891</v>
      </c>
      <c r="AC105" s="116">
        <f t="shared" si="74"/>
        <v>1918.0714787573902</v>
      </c>
      <c r="AD105" s="116">
        <f t="shared" si="74"/>
        <v>1949.4834327353913</v>
      </c>
    </row>
    <row r="106" spans="2:30" x14ac:dyDescent="0.35">
      <c r="C106" s="22"/>
      <c r="D106" s="18"/>
      <c r="E106" s="18"/>
      <c r="F106" s="20"/>
      <c r="I106" s="79"/>
      <c r="J106" s="79"/>
      <c r="K106" s="79"/>
      <c r="L106" s="79"/>
      <c r="M106" s="79"/>
      <c r="N106" s="79"/>
      <c r="O106" s="79"/>
      <c r="P106" s="79"/>
      <c r="Q106" s="79"/>
      <c r="R106" s="79"/>
      <c r="S106" s="79"/>
      <c r="T106" s="79"/>
      <c r="U106" s="79"/>
      <c r="V106" s="79"/>
      <c r="W106" s="79"/>
      <c r="X106" s="79"/>
      <c r="Y106" s="79"/>
      <c r="Z106" s="79"/>
      <c r="AA106" s="79"/>
      <c r="AB106" s="79"/>
      <c r="AC106" s="79"/>
    </row>
    <row r="107" spans="2:30" x14ac:dyDescent="0.35">
      <c r="I107" s="79"/>
      <c r="J107" s="79"/>
      <c r="K107" s="79"/>
      <c r="L107" s="79"/>
      <c r="M107" s="79"/>
      <c r="N107" s="79"/>
      <c r="O107" s="79"/>
      <c r="P107" s="79"/>
      <c r="Q107" s="79"/>
      <c r="R107" s="79"/>
      <c r="S107" s="79"/>
      <c r="T107" s="79"/>
      <c r="U107" s="79"/>
      <c r="V107" s="79"/>
      <c r="W107" s="79"/>
      <c r="X107" s="79"/>
      <c r="Y107" s="79"/>
      <c r="Z107" s="79"/>
      <c r="AA107" s="79"/>
      <c r="AB107" s="79"/>
      <c r="AC107" s="79"/>
    </row>
    <row r="108" spans="2:30" x14ac:dyDescent="0.35">
      <c r="C108" s="19" t="s">
        <v>70</v>
      </c>
      <c r="D108" s="22"/>
      <c r="E108" s="22"/>
      <c r="F108" s="18"/>
      <c r="G108" s="18"/>
    </row>
    <row r="109" spans="2:30" x14ac:dyDescent="0.35">
      <c r="C109" s="38" t="s">
        <v>111</v>
      </c>
      <c r="D109" s="78" t="s">
        <v>112</v>
      </c>
      <c r="E109" s="78" t="s">
        <v>72</v>
      </c>
      <c r="F109" s="78" t="s">
        <v>99</v>
      </c>
      <c r="G109" s="31" t="s">
        <v>100</v>
      </c>
      <c r="H109" s="111">
        <v>2028</v>
      </c>
      <c r="I109" s="111">
        <v>2029</v>
      </c>
      <c r="J109" s="111">
        <v>2030</v>
      </c>
      <c r="K109" s="111">
        <v>2031</v>
      </c>
      <c r="L109" s="111">
        <v>2032</v>
      </c>
      <c r="M109" s="111">
        <v>2033</v>
      </c>
      <c r="N109" s="111">
        <v>2034</v>
      </c>
      <c r="O109" s="111">
        <v>2035</v>
      </c>
      <c r="P109" s="110">
        <v>2036</v>
      </c>
      <c r="Q109" s="110">
        <v>2037</v>
      </c>
      <c r="R109" s="111">
        <v>2038</v>
      </c>
      <c r="S109" s="111">
        <v>2039</v>
      </c>
      <c r="T109" s="111">
        <v>2040</v>
      </c>
      <c r="U109" s="111">
        <v>2041</v>
      </c>
      <c r="V109" s="111">
        <v>2042</v>
      </c>
      <c r="W109" s="111">
        <v>2043</v>
      </c>
      <c r="X109" s="111">
        <v>2044</v>
      </c>
      <c r="Y109" s="111">
        <v>2045</v>
      </c>
      <c r="Z109" s="111">
        <v>2046</v>
      </c>
      <c r="AA109" s="111">
        <v>2047</v>
      </c>
      <c r="AB109" s="111">
        <v>2048</v>
      </c>
      <c r="AC109" s="111">
        <v>2049</v>
      </c>
      <c r="AD109" s="111">
        <v>2050</v>
      </c>
    </row>
    <row r="110" spans="2:30" x14ac:dyDescent="0.35">
      <c r="B110" s="86" t="s">
        <v>188</v>
      </c>
      <c r="C110" s="15" t="s">
        <v>238</v>
      </c>
      <c r="D110" s="22"/>
      <c r="E110" s="22" t="s">
        <v>239</v>
      </c>
      <c r="F110" s="18" t="s">
        <v>240</v>
      </c>
      <c r="G110" s="18" t="s">
        <v>145</v>
      </c>
      <c r="H110" s="29">
        <f>Data!E15*H36</f>
        <v>0</v>
      </c>
      <c r="I110" s="29">
        <f>Data!F15*I36</f>
        <v>0</v>
      </c>
      <c r="J110" s="29">
        <f>Data!G15*J36</f>
        <v>0</v>
      </c>
      <c r="K110" s="29">
        <f>Data!H15*K36</f>
        <v>0</v>
      </c>
      <c r="L110" s="29">
        <f>Data!I15*L36</f>
        <v>0</v>
      </c>
      <c r="M110" s="29">
        <f>Data!J15*M36</f>
        <v>0</v>
      </c>
      <c r="N110" s="29">
        <f>Data!K15*N36</f>
        <v>0</v>
      </c>
      <c r="O110" s="29">
        <f>Data!L15*O36</f>
        <v>0</v>
      </c>
      <c r="P110" s="29">
        <f>Data!M15*P36</f>
        <v>0</v>
      </c>
      <c r="Q110" s="29">
        <f>Data!N15*Q36</f>
        <v>0</v>
      </c>
      <c r="R110" s="29">
        <f>Data!O15*R36</f>
        <v>0</v>
      </c>
      <c r="S110" s="29">
        <f>Data!P15*S36</f>
        <v>0</v>
      </c>
      <c r="T110" s="29">
        <f>Data!Q15*T36</f>
        <v>0</v>
      </c>
      <c r="U110" s="29">
        <f>Data!R15*U36</f>
        <v>0</v>
      </c>
      <c r="V110" s="29">
        <f>Data!S15*V36</f>
        <v>0</v>
      </c>
      <c r="W110" s="29">
        <f>Data!T15*W36</f>
        <v>0</v>
      </c>
      <c r="X110" s="29">
        <f>Data!U15*X36</f>
        <v>0</v>
      </c>
      <c r="Y110" s="29">
        <f>Data!V15*Y36</f>
        <v>0</v>
      </c>
      <c r="Z110" s="29">
        <f>Data!W15*Z36</f>
        <v>0</v>
      </c>
      <c r="AA110" s="29">
        <f>Data!X15*AA36</f>
        <v>0</v>
      </c>
      <c r="AB110" s="29">
        <f>Data!Y15*AB36</f>
        <v>0</v>
      </c>
      <c r="AC110" s="29">
        <f>Data!Z15*AC36</f>
        <v>38.739936000002437</v>
      </c>
      <c r="AD110" s="29">
        <f>Data!AA15*AD36</f>
        <v>81.497460000004054</v>
      </c>
    </row>
    <row r="111" spans="2:30" x14ac:dyDescent="0.35">
      <c r="B111" s="86" t="s">
        <v>200</v>
      </c>
      <c r="C111" s="15" t="s">
        <v>241</v>
      </c>
      <c r="D111" s="22"/>
      <c r="E111" s="22" t="s">
        <v>242</v>
      </c>
      <c r="F111" s="18" t="s">
        <v>243</v>
      </c>
      <c r="G111" s="18" t="s">
        <v>137</v>
      </c>
      <c r="H111" s="29">
        <f>Data!E16*H37</f>
        <v>0</v>
      </c>
      <c r="I111" s="29">
        <f>Data!F16*I37</f>
        <v>0</v>
      </c>
      <c r="J111" s="29">
        <f>Data!G16*J37</f>
        <v>0</v>
      </c>
      <c r="K111" s="29">
        <f>Data!H16*K37</f>
        <v>0</v>
      </c>
      <c r="L111" s="29">
        <f>Data!I16*L37</f>
        <v>0</v>
      </c>
      <c r="M111" s="29">
        <f>Data!J16*M37</f>
        <v>0</v>
      </c>
      <c r="N111" s="29">
        <f>Data!K16*N37</f>
        <v>0</v>
      </c>
      <c r="O111" s="29">
        <f>Data!L16*O37</f>
        <v>0</v>
      </c>
      <c r="P111" s="29">
        <f>Data!M16*P37</f>
        <v>0</v>
      </c>
      <c r="Q111" s="29">
        <f>Data!N16*Q37</f>
        <v>0</v>
      </c>
      <c r="R111" s="29">
        <f>Data!O16*R37</f>
        <v>0</v>
      </c>
      <c r="S111" s="29">
        <f>Data!P16*S37</f>
        <v>0</v>
      </c>
      <c r="T111" s="29">
        <f>Data!Q16*T37</f>
        <v>0</v>
      </c>
      <c r="U111" s="29">
        <f>Data!R16*U37</f>
        <v>0</v>
      </c>
      <c r="V111" s="29">
        <f>Data!S16*V37</f>
        <v>0</v>
      </c>
      <c r="W111" s="29">
        <f>Data!T16*W37</f>
        <v>0</v>
      </c>
      <c r="X111" s="29">
        <f>Data!U16*X37</f>
        <v>2.6934000000011777</v>
      </c>
      <c r="Y111" s="29">
        <f>Data!V16*Y37</f>
        <v>13.945379999998936</v>
      </c>
      <c r="Z111" s="29">
        <f>Data!W16*Z37</f>
        <v>25.197359999999357</v>
      </c>
      <c r="AA111" s="29">
        <f>Data!X16*AA37</f>
        <v>36.449339999999786</v>
      </c>
      <c r="AB111" s="29">
        <f>Data!Y16*AB37</f>
        <v>40.200000000000003</v>
      </c>
      <c r="AC111" s="29">
        <f>Data!Z16*AC37</f>
        <v>30.005279999999356</v>
      </c>
      <c r="AD111" s="29">
        <f>Data!AA16*AD37</f>
        <v>18.753299999998934</v>
      </c>
    </row>
    <row r="112" spans="2:30" x14ac:dyDescent="0.35">
      <c r="B112" s="86" t="s">
        <v>90</v>
      </c>
      <c r="C112" s="15" t="s">
        <v>216</v>
      </c>
      <c r="D112" s="22"/>
      <c r="E112" s="22" t="s">
        <v>217</v>
      </c>
      <c r="F112" s="18" t="s">
        <v>218</v>
      </c>
      <c r="G112" s="18" t="s">
        <v>219</v>
      </c>
      <c r="H112" s="29">
        <f t="shared" ref="H112:AD112" si="75">H38*H47</f>
        <v>-726.5700170721293</v>
      </c>
      <c r="I112" s="29">
        <f t="shared" si="75"/>
        <v>-767.28787799959503</v>
      </c>
      <c r="J112" s="29">
        <f t="shared" si="75"/>
        <v>-804.54415550083695</v>
      </c>
      <c r="K112" s="29">
        <f t="shared" si="75"/>
        <v>-798.43000540900027</v>
      </c>
      <c r="L112" s="29">
        <f t="shared" si="75"/>
        <v>-786.01639897909683</v>
      </c>
      <c r="M112" s="29">
        <f t="shared" si="75"/>
        <v>-767.30333621112663</v>
      </c>
      <c r="N112" s="29">
        <f t="shared" si="75"/>
        <v>-722.34399119999989</v>
      </c>
      <c r="O112" s="29">
        <f t="shared" si="75"/>
        <v>-659.63295599998378</v>
      </c>
      <c r="P112" s="29">
        <f t="shared" si="75"/>
        <v>-559.86539999999343</v>
      </c>
      <c r="Q112" s="29">
        <f t="shared" si="75"/>
        <v>-460.09784400000331</v>
      </c>
      <c r="R112" s="29">
        <f t="shared" si="75"/>
        <v>-360.33028799997248</v>
      </c>
      <c r="S112" s="29">
        <f t="shared" si="75"/>
        <v>-260.56273199998219</v>
      </c>
      <c r="T112" s="29">
        <f t="shared" si="75"/>
        <v>-160.79517599999187</v>
      </c>
      <c r="U112" s="29">
        <f t="shared" si="75"/>
        <v>-118.03765200000038</v>
      </c>
      <c r="V112" s="29">
        <f t="shared" si="75"/>
        <v>-75.280127999998768</v>
      </c>
      <c r="W112" s="29">
        <f t="shared" si="75"/>
        <v>-32.522603999997145</v>
      </c>
      <c r="X112" s="29">
        <f t="shared" si="75"/>
        <v>0</v>
      </c>
      <c r="Y112" s="29">
        <f t="shared" si="75"/>
        <v>0</v>
      </c>
      <c r="Z112" s="29">
        <f t="shared" si="75"/>
        <v>0</v>
      </c>
      <c r="AA112" s="29">
        <f t="shared" si="75"/>
        <v>0</v>
      </c>
      <c r="AB112" s="29">
        <f t="shared" si="75"/>
        <v>0</v>
      </c>
      <c r="AC112" s="29">
        <f t="shared" si="75"/>
        <v>0</v>
      </c>
      <c r="AD112" s="29">
        <f t="shared" si="75"/>
        <v>0</v>
      </c>
    </row>
    <row r="113" spans="2:30" x14ac:dyDescent="0.35">
      <c r="B113" s="81" t="s">
        <v>231</v>
      </c>
      <c r="C113" s="15" t="s">
        <v>232</v>
      </c>
      <c r="D113" s="22"/>
      <c r="E113" s="22"/>
      <c r="F113" s="18" t="s">
        <v>233</v>
      </c>
      <c r="G113" s="18" t="s">
        <v>104</v>
      </c>
      <c r="H113" s="29">
        <f>(H34-Data!$D$5)*Data!$E$6</f>
        <v>-3.3486599999999997</v>
      </c>
      <c r="I113" s="29">
        <f>(I34-Data!$D$5)*Data!$E$6</f>
        <v>-3.3486599999999997</v>
      </c>
      <c r="J113" s="29">
        <f>(J34-Data!$D$5)*Data!$E$6</f>
        <v>-3.3486599999999997</v>
      </c>
      <c r="K113" s="29">
        <f>(K34-Data!$D$5)*Data!$E$6</f>
        <v>-3.3486599999999997</v>
      </c>
      <c r="L113" s="29">
        <f>(L34-Data!$D$5)*Data!$E$6</f>
        <v>-3.3486599999999997</v>
      </c>
      <c r="M113" s="29">
        <f>(M34-Data!$D$5)*Data!$E$6</f>
        <v>-3.3486599999999997</v>
      </c>
      <c r="N113" s="29">
        <f>(N34-Data!$D$5)*Data!$E$6</f>
        <v>-3.3486599999999997</v>
      </c>
      <c r="O113" s="29">
        <f>(O34-Data!$D$5)*Data!$E$6</f>
        <v>-3.3486599999999997</v>
      </c>
      <c r="P113" s="29">
        <f>(P34-Data!$D$5)*Data!$E$6</f>
        <v>-3.3486599999999997</v>
      </c>
      <c r="Q113" s="29">
        <f>(Q34-Data!$D$5)*Data!$E$6</f>
        <v>-3.3486599999999997</v>
      </c>
      <c r="R113" s="29">
        <f>(R34-Data!$D$5)*Data!$E$6</f>
        <v>-3.3486599999999997</v>
      </c>
      <c r="S113" s="29">
        <f>(S34-Data!$D$5)*Data!$E$6</f>
        <v>-3.3486599999999997</v>
      </c>
      <c r="T113" s="29">
        <f>(T34-Data!$D$5)*Data!$E$6</f>
        <v>-3.3486599999999997</v>
      </c>
      <c r="U113" s="29">
        <f>(U34-Data!$D$5)*Data!$E$6</f>
        <v>-3.3486599999999997</v>
      </c>
      <c r="V113" s="29">
        <f>(V34-Data!$D$5)*Data!$E$6</f>
        <v>-3.3486599999999997</v>
      </c>
      <c r="W113" s="29">
        <f>(W34-Data!$D$5)*Data!$E$6</f>
        <v>-3.3486599999999997</v>
      </c>
      <c r="X113" s="29">
        <f>(X34-Data!$D$5)*Data!$E$6</f>
        <v>-3.3486599999999997</v>
      </c>
      <c r="Y113" s="29">
        <f>(Y34-Data!$D$5)*Data!$E$6</f>
        <v>-3.3486599999999997</v>
      </c>
      <c r="Z113" s="29">
        <f>(Z34-Data!$D$5)*Data!$E$6</f>
        <v>-3.3486599999999997</v>
      </c>
      <c r="AA113" s="29">
        <f>(AA34-Data!$D$5)*Data!$E$6</f>
        <v>-3.3486599999999997</v>
      </c>
      <c r="AB113" s="29">
        <f>(AB34-Data!$D$5)*Data!$E$6</f>
        <v>-3.3486599999999997</v>
      </c>
      <c r="AC113" s="29">
        <f>(AC34-Data!$D$5)*Data!$E$6</f>
        <v>-3.3486599999999997</v>
      </c>
      <c r="AD113" s="29">
        <f>(AD34-Data!$D$5)*Data!$E$6</f>
        <v>-3.3486599999999997</v>
      </c>
    </row>
    <row r="114" spans="2:30" x14ac:dyDescent="0.35">
      <c r="C114" s="15" t="s">
        <v>234</v>
      </c>
      <c r="D114" s="22"/>
      <c r="E114" s="22" t="s">
        <v>235</v>
      </c>
      <c r="F114" s="18" t="s">
        <v>236</v>
      </c>
      <c r="G114" s="18" t="s">
        <v>145</v>
      </c>
      <c r="H114" s="29">
        <f>H113*H$6</f>
        <v>-669.73199999999997</v>
      </c>
      <c r="I114" s="29">
        <f t="shared" ref="I114:AD114" si="76">I113*I$6</f>
        <v>-669.73199999999997</v>
      </c>
      <c r="J114" s="29">
        <f t="shared" si="76"/>
        <v>-586.01549999999997</v>
      </c>
      <c r="K114" s="29">
        <f t="shared" si="76"/>
        <v>-502.29899999999998</v>
      </c>
      <c r="L114" s="29">
        <f t="shared" si="76"/>
        <v>-418.58249999999998</v>
      </c>
      <c r="M114" s="29">
        <f t="shared" si="76"/>
        <v>-334.86599999999999</v>
      </c>
      <c r="N114" s="29">
        <f t="shared" si="76"/>
        <v>-251.14949999999999</v>
      </c>
      <c r="O114" s="29">
        <f t="shared" si="76"/>
        <v>-167.43299999999999</v>
      </c>
      <c r="P114" s="29">
        <f t="shared" si="76"/>
        <v>-142.31805</v>
      </c>
      <c r="Q114" s="29">
        <f t="shared" si="76"/>
        <v>-117.20309999999999</v>
      </c>
      <c r="R114" s="29">
        <f t="shared" si="76"/>
        <v>-92.088149999999999</v>
      </c>
      <c r="S114" s="29">
        <f t="shared" si="76"/>
        <v>-66.973199999999991</v>
      </c>
      <c r="T114" s="29">
        <f t="shared" si="76"/>
        <v>-41.858249999999998</v>
      </c>
      <c r="U114" s="29">
        <f t="shared" si="76"/>
        <v>-38.509589999999996</v>
      </c>
      <c r="V114" s="29">
        <f t="shared" si="76"/>
        <v>-35.16093</v>
      </c>
      <c r="W114" s="29">
        <f t="shared" si="76"/>
        <v>-31.812269999999998</v>
      </c>
      <c r="X114" s="29">
        <f t="shared" si="76"/>
        <v>-28.463609999999999</v>
      </c>
      <c r="Y114" s="29">
        <f t="shared" si="76"/>
        <v>-25.114949999999997</v>
      </c>
      <c r="Z114" s="29">
        <f t="shared" si="76"/>
        <v>-21.766289999999998</v>
      </c>
      <c r="AA114" s="29">
        <f t="shared" si="76"/>
        <v>-18.417629999999999</v>
      </c>
      <c r="AB114" s="29">
        <f t="shared" si="76"/>
        <v>-15.068969999999998</v>
      </c>
      <c r="AC114" s="29">
        <f t="shared" si="76"/>
        <v>-11.72031</v>
      </c>
      <c r="AD114" s="29">
        <f t="shared" si="76"/>
        <v>-8.3716499999999989</v>
      </c>
    </row>
    <row r="115" spans="2:30" x14ac:dyDescent="0.35">
      <c r="B115" s="81" t="s">
        <v>204</v>
      </c>
      <c r="C115" s="19" t="s">
        <v>76</v>
      </c>
      <c r="D115" s="87"/>
      <c r="E115" s="22" t="s">
        <v>205</v>
      </c>
      <c r="F115" s="18"/>
      <c r="G115" s="88" t="s">
        <v>145</v>
      </c>
      <c r="H115" s="118">
        <f>H39*Data!$E$6*1000</f>
        <v>1999.9999999999998</v>
      </c>
      <c r="I115" s="118">
        <f>I39*Data!$E$6*1000</f>
        <v>1999.9999999999998</v>
      </c>
      <c r="J115" s="118">
        <f>J39*Data!$E$6*1000</f>
        <v>1999.9999999999998</v>
      </c>
      <c r="K115" s="118">
        <f>K39*Data!$E$6*1000</f>
        <v>1999.9999999999998</v>
      </c>
      <c r="L115" s="118">
        <f>L39*Data!$E$6*1000</f>
        <v>1999.9999999999998</v>
      </c>
      <c r="M115" s="118">
        <f>M39*Data!$E$6*1000</f>
        <v>1999.9999999999998</v>
      </c>
      <c r="N115" s="118">
        <f>N39*Data!$E$6*1000</f>
        <v>1999.9999999999998</v>
      </c>
      <c r="O115" s="118">
        <f>O39*Data!$E$6*1000</f>
        <v>1999.9999999999998</v>
      </c>
      <c r="P115" s="118">
        <f>P39*Data!$E$6*1000</f>
        <v>1999.9999999999998</v>
      </c>
      <c r="Q115" s="118">
        <f>Q39*Data!$E$6*1000</f>
        <v>1999.9999999999998</v>
      </c>
      <c r="R115" s="118">
        <f>R39*Data!$E$6*1000</f>
        <v>1999.9999999999998</v>
      </c>
      <c r="S115" s="118">
        <f>S39*Data!$E$6*1000</f>
        <v>1999.9999999999998</v>
      </c>
      <c r="T115" s="118">
        <f>T39*Data!$E$6*1000</f>
        <v>1999.9999999999998</v>
      </c>
      <c r="U115" s="118">
        <f>U39*Data!$E$6*1000</f>
        <v>1999.9999999999998</v>
      </c>
      <c r="V115" s="118">
        <f>V39*Data!$E$6*1000</f>
        <v>1999.9999999999998</v>
      </c>
      <c r="W115" s="118">
        <f>W39*Data!$E$6*1000</f>
        <v>1999.9999999999998</v>
      </c>
      <c r="X115" s="118">
        <f>X39*Data!$E$6*1000</f>
        <v>1999.9999999999998</v>
      </c>
      <c r="Y115" s="118">
        <f>Y39*Data!$E$6*1000</f>
        <v>1999.9999999999998</v>
      </c>
      <c r="Z115" s="118">
        <f>Z39*Data!$E$6*1000</f>
        <v>1999.9999999999998</v>
      </c>
      <c r="AA115" s="118">
        <f>AA39*Data!$E$6*1000</f>
        <v>1999.9999999999998</v>
      </c>
      <c r="AB115" s="118">
        <f>AB39*Data!$E$6*1000</f>
        <v>1999.9999999999998</v>
      </c>
      <c r="AC115" s="118">
        <f>AC39*Data!$E$6*1000</f>
        <v>1999.9999999999998</v>
      </c>
      <c r="AD115" s="118">
        <f>AD39*Data!$E$6*1000</f>
        <v>1999.9999999999998</v>
      </c>
    </row>
    <row r="116" spans="2:30" x14ac:dyDescent="0.35">
      <c r="C116" s="19" t="s">
        <v>86</v>
      </c>
      <c r="D116" s="87"/>
      <c r="E116" s="22" t="s">
        <v>244</v>
      </c>
      <c r="F116" s="18"/>
      <c r="G116" s="88" t="s">
        <v>145</v>
      </c>
      <c r="H116" s="118">
        <f t="shared" ref="H116:AD116" si="77">H110</f>
        <v>0</v>
      </c>
      <c r="I116" s="118">
        <f t="shared" si="77"/>
        <v>0</v>
      </c>
      <c r="J116" s="118">
        <f t="shared" si="77"/>
        <v>0</v>
      </c>
      <c r="K116" s="118">
        <f t="shared" si="77"/>
        <v>0</v>
      </c>
      <c r="L116" s="118">
        <f t="shared" si="77"/>
        <v>0</v>
      </c>
      <c r="M116" s="118">
        <f t="shared" si="77"/>
        <v>0</v>
      </c>
      <c r="N116" s="118">
        <f t="shared" si="77"/>
        <v>0</v>
      </c>
      <c r="O116" s="118">
        <f t="shared" si="77"/>
        <v>0</v>
      </c>
      <c r="P116" s="118">
        <f t="shared" si="77"/>
        <v>0</v>
      </c>
      <c r="Q116" s="118">
        <f t="shared" si="77"/>
        <v>0</v>
      </c>
      <c r="R116" s="118">
        <f t="shared" si="77"/>
        <v>0</v>
      </c>
      <c r="S116" s="118">
        <f t="shared" si="77"/>
        <v>0</v>
      </c>
      <c r="T116" s="118">
        <f t="shared" si="77"/>
        <v>0</v>
      </c>
      <c r="U116" s="118">
        <f t="shared" si="77"/>
        <v>0</v>
      </c>
      <c r="V116" s="118">
        <f t="shared" si="77"/>
        <v>0</v>
      </c>
      <c r="W116" s="118">
        <f t="shared" si="77"/>
        <v>0</v>
      </c>
      <c r="X116" s="118">
        <f t="shared" si="77"/>
        <v>0</v>
      </c>
      <c r="Y116" s="118">
        <f t="shared" si="77"/>
        <v>0</v>
      </c>
      <c r="Z116" s="118">
        <f t="shared" si="77"/>
        <v>0</v>
      </c>
      <c r="AA116" s="118">
        <f t="shared" si="77"/>
        <v>0</v>
      </c>
      <c r="AB116" s="118">
        <f t="shared" si="77"/>
        <v>0</v>
      </c>
      <c r="AC116" s="118">
        <f t="shared" si="77"/>
        <v>38.739936000002437</v>
      </c>
      <c r="AD116" s="118">
        <f t="shared" si="77"/>
        <v>81.497460000004054</v>
      </c>
    </row>
    <row r="117" spans="2:30" x14ac:dyDescent="0.35">
      <c r="C117" s="19" t="s">
        <v>92</v>
      </c>
      <c r="D117" s="87"/>
      <c r="E117" s="22" t="s">
        <v>245</v>
      </c>
      <c r="F117" s="18"/>
      <c r="G117" s="88" t="s">
        <v>145</v>
      </c>
      <c r="H117" s="118">
        <f t="shared" ref="H117:AD117" si="78">H111</f>
        <v>0</v>
      </c>
      <c r="I117" s="118">
        <f t="shared" si="78"/>
        <v>0</v>
      </c>
      <c r="J117" s="118">
        <f t="shared" si="78"/>
        <v>0</v>
      </c>
      <c r="K117" s="118">
        <f t="shared" si="78"/>
        <v>0</v>
      </c>
      <c r="L117" s="118">
        <f t="shared" si="78"/>
        <v>0</v>
      </c>
      <c r="M117" s="118">
        <f t="shared" si="78"/>
        <v>0</v>
      </c>
      <c r="N117" s="118">
        <f t="shared" si="78"/>
        <v>0</v>
      </c>
      <c r="O117" s="118">
        <f t="shared" si="78"/>
        <v>0</v>
      </c>
      <c r="P117" s="118">
        <f t="shared" si="78"/>
        <v>0</v>
      </c>
      <c r="Q117" s="118">
        <f t="shared" si="78"/>
        <v>0</v>
      </c>
      <c r="R117" s="118">
        <f t="shared" si="78"/>
        <v>0</v>
      </c>
      <c r="S117" s="118">
        <f t="shared" si="78"/>
        <v>0</v>
      </c>
      <c r="T117" s="118">
        <f t="shared" si="78"/>
        <v>0</v>
      </c>
      <c r="U117" s="118">
        <f t="shared" si="78"/>
        <v>0</v>
      </c>
      <c r="V117" s="118">
        <f t="shared" si="78"/>
        <v>0</v>
      </c>
      <c r="W117" s="118">
        <f t="shared" si="78"/>
        <v>0</v>
      </c>
      <c r="X117" s="118">
        <f t="shared" si="78"/>
        <v>2.6934000000011777</v>
      </c>
      <c r="Y117" s="118">
        <f t="shared" si="78"/>
        <v>13.945379999998936</v>
      </c>
      <c r="Z117" s="118">
        <f t="shared" si="78"/>
        <v>25.197359999999357</v>
      </c>
      <c r="AA117" s="118">
        <f t="shared" si="78"/>
        <v>36.449339999999786</v>
      </c>
      <c r="AB117" s="118">
        <f t="shared" si="78"/>
        <v>40.200000000000003</v>
      </c>
      <c r="AC117" s="118">
        <f t="shared" si="78"/>
        <v>30.005279999999356</v>
      </c>
      <c r="AD117" s="118">
        <f t="shared" si="78"/>
        <v>18.753299999998934</v>
      </c>
    </row>
    <row r="118" spans="2:30" x14ac:dyDescent="0.35">
      <c r="C118" s="19" t="s">
        <v>90</v>
      </c>
      <c r="D118" s="87"/>
      <c r="E118" s="22"/>
      <c r="F118" s="18"/>
      <c r="G118" s="88" t="s">
        <v>145</v>
      </c>
      <c r="H118" s="118">
        <f t="shared" ref="H118:AD118" si="79">H112</f>
        <v>-726.5700170721293</v>
      </c>
      <c r="I118" s="118">
        <f t="shared" si="79"/>
        <v>-767.28787799959503</v>
      </c>
      <c r="J118" s="118">
        <f t="shared" si="79"/>
        <v>-804.54415550083695</v>
      </c>
      <c r="K118" s="118">
        <f t="shared" si="79"/>
        <v>-798.43000540900027</v>
      </c>
      <c r="L118" s="118">
        <f t="shared" si="79"/>
        <v>-786.01639897909683</v>
      </c>
      <c r="M118" s="118">
        <f t="shared" si="79"/>
        <v>-767.30333621112663</v>
      </c>
      <c r="N118" s="118">
        <f t="shared" si="79"/>
        <v>-722.34399119999989</v>
      </c>
      <c r="O118" s="118">
        <f t="shared" si="79"/>
        <v>-659.63295599998378</v>
      </c>
      <c r="P118" s="118">
        <f t="shared" si="79"/>
        <v>-559.86539999999343</v>
      </c>
      <c r="Q118" s="118">
        <f t="shared" si="79"/>
        <v>-460.09784400000331</v>
      </c>
      <c r="R118" s="118">
        <f t="shared" si="79"/>
        <v>-360.33028799997248</v>
      </c>
      <c r="S118" s="118">
        <f t="shared" si="79"/>
        <v>-260.56273199998219</v>
      </c>
      <c r="T118" s="118">
        <f t="shared" si="79"/>
        <v>-160.79517599999187</v>
      </c>
      <c r="U118" s="118">
        <f t="shared" si="79"/>
        <v>-118.03765200000038</v>
      </c>
      <c r="V118" s="118">
        <f t="shared" si="79"/>
        <v>-75.280127999998768</v>
      </c>
      <c r="W118" s="118">
        <f t="shared" si="79"/>
        <v>-32.522603999997145</v>
      </c>
      <c r="X118" s="118">
        <f t="shared" si="79"/>
        <v>0</v>
      </c>
      <c r="Y118" s="118">
        <f t="shared" si="79"/>
        <v>0</v>
      </c>
      <c r="Z118" s="118">
        <f t="shared" si="79"/>
        <v>0</v>
      </c>
      <c r="AA118" s="118">
        <f t="shared" si="79"/>
        <v>0</v>
      </c>
      <c r="AB118" s="118">
        <f t="shared" si="79"/>
        <v>0</v>
      </c>
      <c r="AC118" s="118">
        <f t="shared" si="79"/>
        <v>0</v>
      </c>
      <c r="AD118" s="118">
        <f t="shared" si="79"/>
        <v>0</v>
      </c>
    </row>
    <row r="119" spans="2:30" ht="15" thickBot="1" x14ac:dyDescent="0.4">
      <c r="C119" s="93" t="s">
        <v>91</v>
      </c>
      <c r="D119" s="94"/>
      <c r="E119" s="95"/>
      <c r="F119" s="96"/>
      <c r="G119" s="91" t="s">
        <v>145</v>
      </c>
      <c r="H119" s="119">
        <f t="shared" ref="H119:AC119" si="80">H114</f>
        <v>-669.73199999999997</v>
      </c>
      <c r="I119" s="119">
        <f t="shared" si="80"/>
        <v>-669.73199999999997</v>
      </c>
      <c r="J119" s="119">
        <f t="shared" si="80"/>
        <v>-586.01549999999997</v>
      </c>
      <c r="K119" s="119">
        <f t="shared" si="80"/>
        <v>-502.29899999999998</v>
      </c>
      <c r="L119" s="119">
        <f t="shared" si="80"/>
        <v>-418.58249999999998</v>
      </c>
      <c r="M119" s="119">
        <f t="shared" si="80"/>
        <v>-334.86599999999999</v>
      </c>
      <c r="N119" s="119">
        <f t="shared" si="80"/>
        <v>-251.14949999999999</v>
      </c>
      <c r="O119" s="119">
        <f t="shared" si="80"/>
        <v>-167.43299999999999</v>
      </c>
      <c r="P119" s="119">
        <f t="shared" si="80"/>
        <v>-142.31805</v>
      </c>
      <c r="Q119" s="119">
        <f t="shared" si="80"/>
        <v>-117.20309999999999</v>
      </c>
      <c r="R119" s="119">
        <f t="shared" si="80"/>
        <v>-92.088149999999999</v>
      </c>
      <c r="S119" s="119">
        <f t="shared" si="80"/>
        <v>-66.973199999999991</v>
      </c>
      <c r="T119" s="119">
        <f t="shared" si="80"/>
        <v>-41.858249999999998</v>
      </c>
      <c r="U119" s="119">
        <f t="shared" si="80"/>
        <v>-38.509589999999996</v>
      </c>
      <c r="V119" s="119">
        <f t="shared" si="80"/>
        <v>-35.16093</v>
      </c>
      <c r="W119" s="119">
        <f t="shared" si="80"/>
        <v>-31.812269999999998</v>
      </c>
      <c r="X119" s="119">
        <f t="shared" si="80"/>
        <v>-28.463609999999999</v>
      </c>
      <c r="Y119" s="119">
        <f t="shared" si="80"/>
        <v>-25.114949999999997</v>
      </c>
      <c r="Z119" s="119">
        <f t="shared" si="80"/>
        <v>-21.766289999999998</v>
      </c>
      <c r="AA119" s="119">
        <f t="shared" si="80"/>
        <v>-18.417629999999999</v>
      </c>
      <c r="AB119" s="119">
        <f t="shared" si="80"/>
        <v>-15.068969999999998</v>
      </c>
      <c r="AC119" s="119">
        <f t="shared" si="80"/>
        <v>-11.72031</v>
      </c>
      <c r="AD119" s="119">
        <f>AD114</f>
        <v>-8.3716499999999989</v>
      </c>
    </row>
    <row r="120" spans="2:30" ht="15" thickTop="1" x14ac:dyDescent="0.35">
      <c r="C120" s="92" t="s">
        <v>95</v>
      </c>
      <c r="E120" s="22"/>
      <c r="F120" s="18" t="s">
        <v>222</v>
      </c>
      <c r="G120" s="88" t="s">
        <v>145</v>
      </c>
      <c r="H120" s="118">
        <f t="shared" ref="H120:AD120" si="81">SUM(H115:H119)</f>
        <v>603.6979829278705</v>
      </c>
      <c r="I120" s="118">
        <f t="shared" si="81"/>
        <v>562.98012200040466</v>
      </c>
      <c r="J120" s="118">
        <f t="shared" si="81"/>
        <v>609.44034449916285</v>
      </c>
      <c r="K120" s="118">
        <f t="shared" si="81"/>
        <v>699.27099459099963</v>
      </c>
      <c r="L120" s="118">
        <f t="shared" si="81"/>
        <v>795.40110102090284</v>
      </c>
      <c r="M120" s="118">
        <f t="shared" si="81"/>
        <v>897.83066378887315</v>
      </c>
      <c r="N120" s="118">
        <f t="shared" si="81"/>
        <v>1026.5065087999999</v>
      </c>
      <c r="O120" s="118">
        <f t="shared" si="81"/>
        <v>1172.934044000016</v>
      </c>
      <c r="P120" s="118">
        <f t="shared" si="81"/>
        <v>1297.8165500000061</v>
      </c>
      <c r="Q120" s="118">
        <f t="shared" si="81"/>
        <v>1422.6990559999965</v>
      </c>
      <c r="R120" s="118">
        <f t="shared" si="81"/>
        <v>1547.5815620000271</v>
      </c>
      <c r="S120" s="118">
        <f t="shared" si="81"/>
        <v>1672.4640680000177</v>
      </c>
      <c r="T120" s="118">
        <f t="shared" si="81"/>
        <v>1797.3465740000079</v>
      </c>
      <c r="U120" s="118">
        <f t="shared" si="81"/>
        <v>1843.4527579999994</v>
      </c>
      <c r="V120" s="118">
        <f t="shared" si="81"/>
        <v>1889.558942000001</v>
      </c>
      <c r="W120" s="118">
        <f t="shared" si="81"/>
        <v>1935.6651260000028</v>
      </c>
      <c r="X120" s="118">
        <f t="shared" si="81"/>
        <v>1974.229790000001</v>
      </c>
      <c r="Y120" s="118">
        <f t="shared" si="81"/>
        <v>1988.8304299999988</v>
      </c>
      <c r="Z120" s="118">
        <f t="shared" si="81"/>
        <v>2003.4310699999992</v>
      </c>
      <c r="AA120" s="118">
        <f t="shared" si="81"/>
        <v>2018.0317099999997</v>
      </c>
      <c r="AB120" s="118">
        <f t="shared" si="81"/>
        <v>2025.1310299999998</v>
      </c>
      <c r="AC120" s="118">
        <f t="shared" si="81"/>
        <v>2057.0249060000015</v>
      </c>
      <c r="AD120" s="118">
        <f t="shared" si="81"/>
        <v>2091.8791100000026</v>
      </c>
    </row>
    <row r="121" spans="2:30" x14ac:dyDescent="0.35">
      <c r="I121" s="79"/>
      <c r="J121" s="79"/>
      <c r="K121" s="79"/>
      <c r="L121" s="79"/>
    </row>
    <row r="122" spans="2:30" x14ac:dyDescent="0.35">
      <c r="J122" s="79"/>
      <c r="K122" s="79"/>
      <c r="L122" s="79"/>
      <c r="M122" s="79"/>
      <c r="N122" s="79"/>
      <c r="O122" s="79"/>
      <c r="P122" s="79"/>
      <c r="Q122" s="79"/>
      <c r="R122" s="79"/>
      <c r="S122" s="79"/>
      <c r="T122" s="79"/>
      <c r="U122" s="79"/>
      <c r="V122" s="79"/>
      <c r="W122" s="79"/>
      <c r="X122" s="79"/>
      <c r="Y122" s="79"/>
      <c r="Z122" s="79"/>
      <c r="AA122" s="79"/>
      <c r="AB122" s="79"/>
      <c r="AC122" s="79"/>
    </row>
    <row r="123" spans="2:30" x14ac:dyDescent="0.35">
      <c r="J123" s="79"/>
      <c r="K123" s="79"/>
      <c r="L123" s="79"/>
      <c r="M123" s="79"/>
      <c r="N123" s="79"/>
      <c r="O123" s="79"/>
      <c r="P123" s="79"/>
      <c r="Q123" s="79"/>
      <c r="R123" s="79"/>
      <c r="S123" s="79"/>
      <c r="T123" s="79"/>
      <c r="U123" s="79"/>
      <c r="V123" s="79"/>
      <c r="W123" s="79"/>
      <c r="X123" s="79"/>
      <c r="Y123" s="79"/>
      <c r="Z123" s="79"/>
      <c r="AA123" s="79"/>
      <c r="AB123" s="79"/>
      <c r="AC123" s="79"/>
    </row>
    <row r="124" spans="2:30" x14ac:dyDescent="0.35">
      <c r="J124" s="79"/>
      <c r="K124" s="79"/>
      <c r="L124" s="79"/>
      <c r="M124" s="79"/>
      <c r="N124" s="79"/>
      <c r="O124" s="79"/>
      <c r="P124" s="79"/>
      <c r="Q124" s="79"/>
      <c r="R124" s="79"/>
      <c r="S124" s="79"/>
      <c r="T124" s="79"/>
      <c r="U124" s="79"/>
      <c r="V124" s="79"/>
      <c r="W124" s="79"/>
      <c r="X124" s="79"/>
      <c r="Y124" s="79"/>
      <c r="Z124" s="79"/>
      <c r="AA124" s="79"/>
      <c r="AB124" s="79"/>
      <c r="AC124" s="79"/>
    </row>
    <row r="125" spans="2:30" x14ac:dyDescent="0.35">
      <c r="J125" s="79"/>
      <c r="K125" s="79"/>
      <c r="L125" s="79"/>
      <c r="M125" s="79"/>
      <c r="N125" s="79"/>
      <c r="O125" s="79"/>
      <c r="P125" s="79"/>
      <c r="Q125" s="79"/>
      <c r="R125" s="79"/>
      <c r="S125" s="79"/>
      <c r="T125" s="79"/>
      <c r="U125" s="79"/>
      <c r="V125" s="79"/>
      <c r="W125" s="79"/>
      <c r="X125" s="79"/>
      <c r="Y125" s="79"/>
      <c r="Z125" s="79"/>
      <c r="AA125" s="79"/>
      <c r="AB125" s="79"/>
      <c r="AC125" s="79"/>
    </row>
    <row r="126" spans="2:30" x14ac:dyDescent="0.35">
      <c r="J126" s="79"/>
      <c r="K126" s="79"/>
      <c r="L126" s="79"/>
      <c r="M126" s="79"/>
      <c r="N126" s="79"/>
      <c r="O126" s="79"/>
      <c r="P126" s="79"/>
      <c r="Q126" s="79"/>
      <c r="R126" s="79"/>
      <c r="S126" s="79"/>
      <c r="T126" s="79"/>
      <c r="U126" s="79"/>
      <c r="V126" s="79"/>
      <c r="W126" s="79"/>
      <c r="X126" s="79"/>
      <c r="Y126" s="79"/>
      <c r="Z126" s="79"/>
      <c r="AA126" s="79"/>
      <c r="AB126" s="79"/>
      <c r="AC126" s="79"/>
    </row>
    <row r="127" spans="2:30" x14ac:dyDescent="0.35">
      <c r="J127" s="79"/>
      <c r="K127" s="79"/>
      <c r="L127" s="79"/>
      <c r="M127" s="79"/>
      <c r="N127" s="79"/>
      <c r="O127" s="79"/>
      <c r="P127" s="79"/>
      <c r="Q127" s="79"/>
      <c r="R127" s="79"/>
      <c r="S127" s="79"/>
      <c r="T127" s="79"/>
      <c r="U127" s="79"/>
      <c r="V127" s="79"/>
      <c r="W127" s="79"/>
      <c r="X127" s="79"/>
      <c r="Y127" s="79"/>
      <c r="Z127" s="79"/>
      <c r="AA127" s="79"/>
      <c r="AB127" s="79"/>
      <c r="AC127" s="79"/>
    </row>
    <row r="128" spans="2:30" x14ac:dyDescent="0.35">
      <c r="J128" s="79"/>
      <c r="K128" s="79"/>
      <c r="L128" s="79"/>
      <c r="M128" s="79"/>
      <c r="N128" s="79"/>
      <c r="O128" s="79"/>
      <c r="P128" s="79"/>
      <c r="Q128" s="79"/>
      <c r="R128" s="79"/>
      <c r="S128" s="79"/>
      <c r="T128" s="79"/>
      <c r="U128" s="79"/>
      <c r="V128" s="79"/>
      <c r="W128" s="79"/>
      <c r="X128" s="79"/>
      <c r="Y128" s="79"/>
      <c r="Z128" s="79"/>
      <c r="AA128" s="79"/>
      <c r="AB128" s="79"/>
      <c r="AC128" s="79"/>
    </row>
    <row r="129" spans="10:29" x14ac:dyDescent="0.35">
      <c r="J129" s="79"/>
      <c r="K129" s="79"/>
      <c r="L129" s="79"/>
      <c r="M129" s="79"/>
      <c r="N129" s="79"/>
      <c r="O129" s="79"/>
      <c r="P129" s="79"/>
      <c r="Q129" s="79"/>
      <c r="R129" s="79"/>
      <c r="S129" s="79"/>
      <c r="T129" s="79"/>
      <c r="U129" s="79"/>
      <c r="V129" s="79"/>
      <c r="W129" s="79"/>
      <c r="X129" s="79"/>
      <c r="Y129" s="79"/>
      <c r="Z129" s="79"/>
      <c r="AA129" s="79"/>
      <c r="AB129" s="79"/>
      <c r="AC129" s="79"/>
    </row>
    <row r="130" spans="10:29" x14ac:dyDescent="0.35">
      <c r="J130" s="79"/>
      <c r="K130" s="79"/>
      <c r="L130" s="79"/>
      <c r="M130" s="79"/>
      <c r="N130" s="79"/>
      <c r="O130" s="79"/>
      <c r="P130" s="79"/>
      <c r="Q130" s="79"/>
      <c r="R130" s="79"/>
      <c r="S130" s="79"/>
      <c r="T130" s="79"/>
      <c r="U130" s="79"/>
      <c r="V130" s="79"/>
      <c r="W130" s="79"/>
      <c r="X130" s="79"/>
      <c r="Y130" s="79"/>
      <c r="Z130" s="79"/>
      <c r="AA130" s="79"/>
      <c r="AB130" s="79"/>
      <c r="AC130" s="79"/>
    </row>
    <row r="131" spans="10:29" x14ac:dyDescent="0.35">
      <c r="J131" s="79"/>
      <c r="K131" s="79"/>
      <c r="L131" s="79"/>
      <c r="M131" s="79"/>
      <c r="N131" s="79"/>
      <c r="O131" s="79"/>
      <c r="P131" s="79"/>
      <c r="Q131" s="79"/>
      <c r="R131" s="79"/>
      <c r="S131" s="79"/>
      <c r="T131" s="79"/>
      <c r="U131" s="79"/>
      <c r="V131" s="79"/>
      <c r="W131" s="79"/>
      <c r="X131" s="79"/>
      <c r="Y131" s="79"/>
      <c r="Z131" s="79"/>
      <c r="AA131" s="79"/>
      <c r="AB131" s="79"/>
      <c r="AC131" s="79"/>
    </row>
    <row r="132" spans="10:29" x14ac:dyDescent="0.35">
      <c r="J132" s="79"/>
      <c r="K132" s="79"/>
      <c r="L132" s="79"/>
      <c r="M132" s="79"/>
      <c r="N132" s="79"/>
      <c r="O132" s="79"/>
      <c r="P132" s="79"/>
      <c r="Q132" s="79"/>
      <c r="R132" s="79"/>
      <c r="S132" s="79"/>
      <c r="T132" s="79"/>
      <c r="U132" s="79"/>
      <c r="V132" s="79"/>
      <c r="W132" s="79"/>
      <c r="X132" s="79"/>
      <c r="Y132" s="79"/>
      <c r="Z132" s="79"/>
      <c r="AA132" s="79"/>
      <c r="AB132" s="79"/>
      <c r="AC132" s="79"/>
    </row>
    <row r="133" spans="10:29" x14ac:dyDescent="0.35">
      <c r="J133" s="79"/>
      <c r="K133" s="79"/>
      <c r="L133" s="79"/>
      <c r="M133" s="79"/>
      <c r="N133" s="79"/>
      <c r="O133" s="79"/>
      <c r="P133" s="79"/>
      <c r="Q133" s="79"/>
      <c r="R133" s="79"/>
      <c r="S133" s="79"/>
      <c r="T133" s="79"/>
      <c r="U133" s="79"/>
      <c r="V133" s="79"/>
      <c r="W133" s="79"/>
      <c r="X133" s="79"/>
      <c r="Y133" s="79"/>
      <c r="Z133" s="79"/>
      <c r="AA133" s="79"/>
      <c r="AB133" s="79"/>
      <c r="AC133" s="79"/>
    </row>
    <row r="134" spans="10:29" x14ac:dyDescent="0.35">
      <c r="J134" s="79"/>
      <c r="K134" s="79"/>
      <c r="L134" s="79"/>
      <c r="M134" s="79"/>
      <c r="N134" s="79"/>
      <c r="O134" s="79"/>
      <c r="P134" s="79"/>
      <c r="Q134" s="79"/>
      <c r="R134" s="79"/>
      <c r="S134" s="79"/>
      <c r="T134" s="79"/>
      <c r="U134" s="79"/>
      <c r="V134" s="79"/>
      <c r="W134" s="79"/>
      <c r="X134" s="79"/>
      <c r="Y134" s="79"/>
      <c r="Z134" s="79"/>
      <c r="AA134" s="79"/>
      <c r="AB134" s="79"/>
      <c r="AC134" s="79"/>
    </row>
    <row r="135" spans="10:29" x14ac:dyDescent="0.35">
      <c r="J135" s="79"/>
      <c r="K135" s="79"/>
      <c r="L135" s="79"/>
      <c r="M135" s="79"/>
      <c r="N135" s="79"/>
      <c r="O135" s="79"/>
      <c r="P135" s="79"/>
      <c r="Q135" s="79"/>
      <c r="R135" s="79"/>
      <c r="S135" s="79"/>
      <c r="T135" s="79"/>
      <c r="U135" s="79"/>
      <c r="V135" s="79"/>
      <c r="W135" s="79"/>
      <c r="X135" s="79"/>
      <c r="Y135" s="79"/>
      <c r="Z135" s="79"/>
      <c r="AA135" s="79"/>
      <c r="AB135" s="79"/>
      <c r="AC135" s="79"/>
    </row>
    <row r="136" spans="10:29" x14ac:dyDescent="0.35">
      <c r="J136" s="79"/>
      <c r="K136" s="79"/>
      <c r="L136" s="79"/>
      <c r="M136" s="79"/>
      <c r="N136" s="79"/>
      <c r="O136" s="79"/>
      <c r="P136" s="79"/>
      <c r="Q136" s="79"/>
      <c r="R136" s="79"/>
      <c r="S136" s="79"/>
      <c r="T136" s="79"/>
      <c r="U136" s="79"/>
      <c r="V136" s="79"/>
      <c r="W136" s="79"/>
      <c r="X136" s="79"/>
      <c r="Y136" s="79"/>
      <c r="Z136" s="79"/>
      <c r="AA136" s="79"/>
      <c r="AB136" s="79"/>
      <c r="AC136" s="79"/>
    </row>
    <row r="137" spans="10:29" x14ac:dyDescent="0.35">
      <c r="J137" s="79"/>
      <c r="K137" s="79"/>
      <c r="L137" s="79"/>
      <c r="M137" s="79"/>
      <c r="N137" s="79"/>
      <c r="O137" s="79"/>
      <c r="P137" s="79"/>
      <c r="Q137" s="79"/>
      <c r="R137" s="79"/>
      <c r="S137" s="79"/>
      <c r="T137" s="79"/>
      <c r="U137" s="79"/>
      <c r="V137" s="79"/>
      <c r="W137" s="79"/>
      <c r="X137" s="79"/>
      <c r="Y137" s="79"/>
      <c r="Z137" s="79"/>
      <c r="AA137" s="79"/>
      <c r="AB137" s="79"/>
      <c r="AC137" s="79"/>
    </row>
    <row r="138" spans="10:29" x14ac:dyDescent="0.35">
      <c r="J138" s="79"/>
      <c r="K138" s="79"/>
      <c r="L138" s="79"/>
      <c r="M138" s="79"/>
      <c r="N138" s="79"/>
      <c r="O138" s="79"/>
      <c r="P138" s="79"/>
      <c r="Q138" s="79"/>
      <c r="R138" s="79"/>
      <c r="S138" s="79"/>
      <c r="T138" s="79"/>
      <c r="U138" s="79"/>
      <c r="V138" s="79"/>
      <c r="W138" s="79"/>
      <c r="X138" s="79"/>
      <c r="Y138" s="79"/>
      <c r="Z138" s="79"/>
      <c r="AA138" s="79"/>
      <c r="AB138" s="79"/>
      <c r="AC138" s="79"/>
    </row>
    <row r="139" spans="10:29" x14ac:dyDescent="0.35">
      <c r="J139" s="79"/>
      <c r="K139" s="79"/>
      <c r="L139" s="79"/>
      <c r="M139" s="79"/>
      <c r="N139" s="79"/>
      <c r="O139" s="79"/>
      <c r="P139" s="79"/>
      <c r="Q139" s="79"/>
      <c r="R139" s="79"/>
      <c r="S139" s="79"/>
      <c r="T139" s="79"/>
      <c r="U139" s="79"/>
      <c r="V139" s="79"/>
      <c r="W139" s="79"/>
      <c r="X139" s="79"/>
      <c r="Y139" s="79"/>
      <c r="Z139" s="79"/>
      <c r="AA139" s="79"/>
      <c r="AB139" s="79"/>
      <c r="AC139" s="79"/>
    </row>
    <row r="140" spans="10:29" x14ac:dyDescent="0.35">
      <c r="J140" s="79"/>
      <c r="K140" s="79"/>
      <c r="L140" s="79"/>
      <c r="M140" s="79"/>
      <c r="N140" s="79"/>
      <c r="O140" s="79"/>
      <c r="P140" s="79"/>
      <c r="Q140" s="79"/>
      <c r="R140" s="79"/>
      <c r="S140" s="79"/>
      <c r="T140" s="79"/>
      <c r="U140" s="79"/>
      <c r="V140" s="79"/>
      <c r="W140" s="79"/>
      <c r="X140" s="79"/>
      <c r="Y140" s="79"/>
      <c r="Z140" s="79"/>
      <c r="AA140" s="79"/>
      <c r="AB140" s="79"/>
      <c r="AC140" s="79"/>
    </row>
    <row r="141" spans="10:29" x14ac:dyDescent="0.35">
      <c r="J141" s="79"/>
      <c r="K141" s="79"/>
      <c r="L141" s="79"/>
      <c r="M141" s="79"/>
      <c r="N141" s="79"/>
      <c r="O141" s="79"/>
      <c r="P141" s="79"/>
      <c r="Q141" s="79"/>
      <c r="R141" s="79"/>
      <c r="S141" s="79"/>
      <c r="T141" s="79"/>
      <c r="U141" s="79"/>
      <c r="V141" s="79"/>
      <c r="W141" s="79"/>
      <c r="X141" s="79"/>
      <c r="Y141" s="79"/>
      <c r="Z141" s="79"/>
      <c r="AA141" s="79"/>
      <c r="AB141" s="79"/>
      <c r="AC141" s="79"/>
    </row>
    <row r="142" spans="10:29" x14ac:dyDescent="0.35">
      <c r="J142" s="79"/>
      <c r="K142" s="79"/>
      <c r="L142" s="79"/>
      <c r="M142" s="79"/>
      <c r="N142" s="79"/>
      <c r="O142" s="79"/>
      <c r="P142" s="79"/>
      <c r="Q142" s="79"/>
      <c r="R142" s="79"/>
      <c r="S142" s="79"/>
      <c r="T142" s="79"/>
      <c r="U142" s="79"/>
      <c r="V142" s="79"/>
      <c r="W142" s="79"/>
      <c r="X142" s="79"/>
      <c r="Y142" s="79"/>
      <c r="Z142" s="79"/>
      <c r="AA142" s="79"/>
      <c r="AB142" s="79"/>
      <c r="AC142" s="79"/>
    </row>
    <row r="143" spans="10:29" x14ac:dyDescent="0.35">
      <c r="J143" s="79"/>
      <c r="K143" s="79"/>
      <c r="L143" s="79"/>
      <c r="M143" s="79"/>
      <c r="N143" s="79"/>
      <c r="O143" s="79"/>
      <c r="P143" s="79"/>
      <c r="Q143" s="79"/>
      <c r="R143" s="79"/>
      <c r="S143" s="79"/>
      <c r="T143" s="79"/>
      <c r="U143" s="79"/>
      <c r="V143" s="79"/>
      <c r="W143" s="79"/>
      <c r="X143" s="79"/>
      <c r="Y143" s="79"/>
      <c r="Z143" s="79"/>
      <c r="AA143" s="79"/>
      <c r="AB143" s="79"/>
      <c r="AC143" s="79"/>
    </row>
    <row r="144" spans="10:29" x14ac:dyDescent="0.35">
      <c r="J144" s="79"/>
      <c r="K144" s="79"/>
      <c r="L144" s="79"/>
      <c r="M144" s="79"/>
      <c r="N144" s="79"/>
      <c r="O144" s="79"/>
      <c r="P144" s="79"/>
      <c r="Q144" s="79"/>
      <c r="R144" s="79"/>
      <c r="S144" s="79"/>
      <c r="T144" s="79"/>
      <c r="U144" s="79"/>
      <c r="V144" s="79"/>
      <c r="W144" s="79"/>
      <c r="X144" s="79"/>
      <c r="Y144" s="79"/>
      <c r="Z144" s="79"/>
      <c r="AA144" s="79"/>
      <c r="AB144" s="79"/>
      <c r="AC144" s="79"/>
    </row>
    <row r="145" spans="10:29" x14ac:dyDescent="0.35">
      <c r="J145" s="79"/>
      <c r="K145" s="79"/>
      <c r="L145" s="79"/>
      <c r="M145" s="79"/>
      <c r="N145" s="79"/>
      <c r="O145" s="79"/>
      <c r="P145" s="79"/>
      <c r="Q145" s="79"/>
      <c r="R145" s="79"/>
      <c r="S145" s="79"/>
      <c r="T145" s="79"/>
      <c r="U145" s="79"/>
      <c r="V145" s="79"/>
      <c r="W145" s="79"/>
      <c r="X145" s="79"/>
      <c r="Y145" s="79"/>
      <c r="Z145" s="79"/>
      <c r="AA145" s="79"/>
      <c r="AB145" s="79"/>
      <c r="AC145" s="79"/>
    </row>
    <row r="146" spans="10:29" x14ac:dyDescent="0.35">
      <c r="J146" s="79"/>
      <c r="K146" s="79"/>
      <c r="L146" s="79"/>
      <c r="M146" s="79"/>
      <c r="N146" s="79"/>
      <c r="O146" s="79"/>
      <c r="P146" s="79"/>
      <c r="Q146" s="79"/>
      <c r="R146" s="79"/>
      <c r="S146" s="79"/>
      <c r="T146" s="79"/>
      <c r="U146" s="79"/>
      <c r="V146" s="79"/>
      <c r="W146" s="79"/>
      <c r="X146" s="79"/>
      <c r="Y146" s="79"/>
      <c r="Z146" s="79"/>
      <c r="AA146" s="79"/>
      <c r="AB146" s="79"/>
      <c r="AC146" s="79"/>
    </row>
    <row r="147" spans="10:29" x14ac:dyDescent="0.35">
      <c r="J147" s="79"/>
      <c r="K147" s="79"/>
      <c r="L147" s="79"/>
      <c r="M147" s="79"/>
      <c r="N147" s="79"/>
      <c r="O147" s="79"/>
      <c r="P147" s="79"/>
      <c r="Q147" s="79"/>
      <c r="R147" s="79"/>
      <c r="S147" s="79"/>
      <c r="T147" s="79"/>
      <c r="U147" s="79"/>
      <c r="V147" s="79"/>
      <c r="W147" s="79"/>
      <c r="X147" s="79"/>
      <c r="Y147" s="79"/>
      <c r="Z147" s="79"/>
      <c r="AA147" s="79"/>
      <c r="AB147" s="79"/>
      <c r="AC147" s="79"/>
    </row>
    <row r="148" spans="10:29" x14ac:dyDescent="0.35">
      <c r="J148" s="79"/>
      <c r="K148" s="79"/>
      <c r="L148" s="79"/>
      <c r="M148" s="79"/>
      <c r="N148" s="79"/>
      <c r="O148" s="79"/>
      <c r="P148" s="79"/>
      <c r="Q148" s="79"/>
      <c r="R148" s="79"/>
      <c r="S148" s="79"/>
      <c r="T148" s="79"/>
      <c r="U148" s="79"/>
      <c r="V148" s="79"/>
      <c r="W148" s="79"/>
      <c r="X148" s="79"/>
      <c r="Y148" s="79"/>
      <c r="Z148" s="79"/>
      <c r="AA148" s="79"/>
      <c r="AB148" s="79"/>
      <c r="AC148" s="79"/>
    </row>
    <row r="149" spans="10:29" x14ac:dyDescent="0.35">
      <c r="J149" s="79"/>
      <c r="K149" s="79"/>
      <c r="L149" s="79"/>
      <c r="M149" s="79"/>
      <c r="N149" s="79"/>
      <c r="O149" s="79"/>
      <c r="P149" s="79"/>
      <c r="Q149" s="79"/>
      <c r="R149" s="79"/>
      <c r="S149" s="79"/>
      <c r="T149" s="79"/>
      <c r="U149" s="79"/>
      <c r="V149" s="79"/>
      <c r="W149" s="79"/>
      <c r="X149" s="79"/>
      <c r="Y149" s="79"/>
      <c r="Z149" s="79"/>
      <c r="AA149" s="79"/>
      <c r="AB149" s="79"/>
      <c r="AC149" s="79"/>
    </row>
    <row r="150" spans="10:29" x14ac:dyDescent="0.35">
      <c r="J150" s="79"/>
      <c r="K150" s="79"/>
      <c r="L150" s="79"/>
      <c r="M150" s="79"/>
      <c r="N150" s="79"/>
      <c r="O150" s="79"/>
      <c r="P150" s="79"/>
      <c r="Q150" s="79"/>
      <c r="R150" s="79"/>
      <c r="S150" s="79"/>
      <c r="T150" s="79"/>
      <c r="U150" s="79"/>
      <c r="V150" s="79"/>
      <c r="W150" s="79"/>
      <c r="X150" s="79"/>
      <c r="Y150" s="79"/>
      <c r="Z150" s="79"/>
      <c r="AA150" s="79"/>
      <c r="AB150" s="79"/>
      <c r="AC150" s="79"/>
    </row>
    <row r="151" spans="10:29" x14ac:dyDescent="0.35">
      <c r="J151" s="79"/>
      <c r="K151" s="79"/>
      <c r="L151" s="79"/>
      <c r="M151" s="79"/>
      <c r="N151" s="79"/>
      <c r="O151" s="79"/>
      <c r="P151" s="79"/>
      <c r="Q151" s="79"/>
      <c r="R151" s="79"/>
      <c r="S151" s="79"/>
      <c r="T151" s="79"/>
      <c r="U151" s="79"/>
      <c r="V151" s="79"/>
      <c r="W151" s="79"/>
      <c r="X151" s="79"/>
      <c r="Y151" s="79"/>
      <c r="Z151" s="79"/>
      <c r="AA151" s="79"/>
      <c r="AB151" s="79"/>
      <c r="AC151" s="79"/>
    </row>
    <row r="152" spans="10:29" x14ac:dyDescent="0.35">
      <c r="J152" s="79"/>
      <c r="K152" s="79"/>
      <c r="L152" s="79"/>
      <c r="M152" s="79"/>
      <c r="N152" s="79"/>
      <c r="O152" s="79"/>
      <c r="P152" s="79"/>
      <c r="Q152" s="79"/>
      <c r="R152" s="79"/>
      <c r="S152" s="79"/>
      <c r="T152" s="79"/>
      <c r="U152" s="79"/>
      <c r="V152" s="79"/>
      <c r="W152" s="79"/>
      <c r="X152" s="79"/>
      <c r="Y152" s="79"/>
      <c r="Z152" s="79"/>
      <c r="AA152" s="79"/>
      <c r="AB152" s="79"/>
      <c r="AC152" s="79"/>
    </row>
    <row r="153" spans="10:29" x14ac:dyDescent="0.35">
      <c r="J153" s="79"/>
      <c r="K153" s="79"/>
      <c r="L153" s="79"/>
      <c r="M153" s="79"/>
      <c r="N153" s="79"/>
      <c r="O153" s="79"/>
      <c r="P153" s="79"/>
      <c r="Q153" s="79"/>
      <c r="R153" s="79"/>
      <c r="S153" s="79"/>
      <c r="T153" s="79"/>
      <c r="U153" s="79"/>
      <c r="V153" s="79"/>
      <c r="W153" s="79"/>
      <c r="X153" s="79"/>
      <c r="Y153" s="79"/>
      <c r="Z153" s="79"/>
      <c r="AA153" s="79"/>
      <c r="AB153" s="79"/>
      <c r="AC153" s="79"/>
    </row>
    <row r="154" spans="10:29" x14ac:dyDescent="0.35">
      <c r="J154" s="79"/>
      <c r="K154" s="79"/>
      <c r="L154" s="79"/>
      <c r="M154" s="79"/>
      <c r="N154" s="79"/>
      <c r="O154" s="79"/>
      <c r="P154" s="79"/>
      <c r="Q154" s="79"/>
      <c r="R154" s="79"/>
      <c r="S154" s="79"/>
      <c r="T154" s="79"/>
      <c r="U154" s="79"/>
      <c r="V154" s="79"/>
      <c r="W154" s="79"/>
      <c r="X154" s="79"/>
      <c r="Y154" s="79"/>
      <c r="Z154" s="79"/>
      <c r="AA154" s="79"/>
      <c r="AB154" s="79"/>
      <c r="AC154" s="79"/>
    </row>
    <row r="155" spans="10:29" x14ac:dyDescent="0.35">
      <c r="J155" s="79"/>
      <c r="K155" s="79"/>
      <c r="L155" s="79"/>
      <c r="M155" s="79"/>
      <c r="N155" s="79"/>
      <c r="O155" s="79"/>
      <c r="P155" s="79"/>
      <c r="Q155" s="79"/>
      <c r="R155" s="79"/>
      <c r="S155" s="79"/>
      <c r="T155" s="79"/>
      <c r="U155" s="79"/>
      <c r="V155" s="79"/>
      <c r="W155" s="79"/>
      <c r="X155" s="79"/>
      <c r="Y155" s="79"/>
      <c r="Z155" s="79"/>
      <c r="AA155" s="79"/>
      <c r="AB155" s="79"/>
      <c r="AC155" s="79"/>
    </row>
    <row r="156" spans="10:29" x14ac:dyDescent="0.35">
      <c r="J156" s="79"/>
      <c r="K156" s="79"/>
      <c r="L156" s="79"/>
      <c r="M156" s="79"/>
      <c r="N156" s="79"/>
      <c r="O156" s="79"/>
      <c r="P156" s="79"/>
      <c r="Q156" s="79"/>
      <c r="R156" s="79"/>
      <c r="S156" s="79"/>
      <c r="T156" s="79"/>
      <c r="U156" s="79"/>
      <c r="V156" s="79"/>
      <c r="W156" s="79"/>
      <c r="X156" s="79"/>
      <c r="Y156" s="79"/>
      <c r="Z156" s="79"/>
      <c r="AA156" s="79"/>
      <c r="AB156" s="79"/>
      <c r="AC156" s="79"/>
    </row>
    <row r="157" spans="10:29" x14ac:dyDescent="0.35">
      <c r="J157" s="79"/>
      <c r="K157" s="79"/>
      <c r="L157" s="79"/>
      <c r="M157" s="79"/>
      <c r="N157" s="79"/>
      <c r="O157" s="79"/>
      <c r="P157" s="79"/>
      <c r="Q157" s="79"/>
      <c r="R157" s="79"/>
      <c r="S157" s="79"/>
      <c r="T157" s="79"/>
      <c r="U157" s="79"/>
      <c r="V157" s="79"/>
      <c r="W157" s="79"/>
      <c r="X157" s="79"/>
      <c r="Y157" s="79"/>
      <c r="Z157" s="79"/>
      <c r="AA157" s="79"/>
      <c r="AB157" s="79"/>
      <c r="AC157" s="79"/>
    </row>
    <row r="158" spans="10:29" x14ac:dyDescent="0.35">
      <c r="J158" s="79"/>
      <c r="K158" s="79"/>
      <c r="L158" s="79"/>
      <c r="M158" s="79"/>
      <c r="N158" s="79"/>
      <c r="O158" s="79"/>
      <c r="P158" s="79"/>
      <c r="Q158" s="79"/>
      <c r="R158" s="79"/>
      <c r="S158" s="79"/>
      <c r="T158" s="79"/>
      <c r="U158" s="79"/>
      <c r="V158" s="79"/>
      <c r="W158" s="79"/>
      <c r="X158" s="79"/>
      <c r="Y158" s="79"/>
      <c r="Z158" s="79"/>
      <c r="AA158" s="79"/>
      <c r="AB158" s="79"/>
      <c r="AC158" s="79"/>
    </row>
    <row r="159" spans="10:29" x14ac:dyDescent="0.35">
      <c r="J159" s="79"/>
      <c r="K159" s="79"/>
      <c r="L159" s="79"/>
      <c r="M159" s="79"/>
      <c r="N159" s="79"/>
      <c r="O159" s="79"/>
      <c r="P159" s="79"/>
      <c r="Q159" s="79"/>
      <c r="R159" s="79"/>
      <c r="S159" s="79"/>
      <c r="T159" s="79"/>
      <c r="U159" s="79"/>
      <c r="V159" s="79"/>
      <c r="W159" s="79"/>
      <c r="X159" s="79"/>
      <c r="Y159" s="79"/>
      <c r="Z159" s="79"/>
      <c r="AA159" s="79"/>
      <c r="AB159" s="79"/>
      <c r="AC159" s="79"/>
    </row>
    <row r="160" spans="10:29" x14ac:dyDescent="0.35">
      <c r="J160" s="79"/>
      <c r="K160" s="79"/>
      <c r="L160" s="79"/>
      <c r="M160" s="79"/>
      <c r="N160" s="79"/>
      <c r="O160" s="79"/>
      <c r="P160" s="79"/>
      <c r="Q160" s="79"/>
      <c r="R160" s="79"/>
      <c r="S160" s="79"/>
      <c r="T160" s="79"/>
      <c r="U160" s="79"/>
      <c r="V160" s="79"/>
      <c r="W160" s="79"/>
      <c r="X160" s="79"/>
      <c r="Y160" s="79"/>
      <c r="Z160" s="79"/>
      <c r="AA160" s="79"/>
      <c r="AB160" s="79"/>
      <c r="AC160" s="79"/>
    </row>
    <row r="161" spans="10:29" x14ac:dyDescent="0.35">
      <c r="J161" s="79"/>
      <c r="K161" s="79"/>
      <c r="L161" s="79"/>
      <c r="M161" s="79"/>
      <c r="N161" s="79"/>
      <c r="O161" s="79"/>
      <c r="P161" s="79"/>
      <c r="Q161" s="79"/>
      <c r="R161" s="79"/>
      <c r="S161" s="79"/>
      <c r="T161" s="79"/>
      <c r="U161" s="79"/>
      <c r="V161" s="79"/>
      <c r="W161" s="79"/>
      <c r="X161" s="79"/>
      <c r="Y161" s="79"/>
      <c r="Z161" s="79"/>
      <c r="AA161" s="79"/>
      <c r="AB161" s="79"/>
      <c r="AC161" s="79"/>
    </row>
    <row r="162" spans="10:29" x14ac:dyDescent="0.35">
      <c r="J162" s="79"/>
      <c r="K162" s="79"/>
      <c r="L162" s="79"/>
      <c r="M162" s="79"/>
      <c r="N162" s="79"/>
      <c r="O162" s="79"/>
      <c r="P162" s="79"/>
      <c r="Q162" s="79"/>
      <c r="R162" s="79"/>
      <c r="S162" s="79"/>
      <c r="T162" s="79"/>
      <c r="U162" s="79"/>
      <c r="V162" s="79"/>
      <c r="W162" s="79"/>
      <c r="X162" s="79"/>
      <c r="Y162" s="79"/>
      <c r="Z162" s="79"/>
      <c r="AA162" s="79"/>
      <c r="AB162" s="79"/>
      <c r="AC162" s="79"/>
    </row>
    <row r="163" spans="10:29" x14ac:dyDescent="0.35">
      <c r="J163" s="79"/>
      <c r="K163" s="79"/>
      <c r="L163" s="79"/>
      <c r="M163" s="79"/>
      <c r="N163" s="79"/>
      <c r="O163" s="79"/>
      <c r="P163" s="79"/>
      <c r="Q163" s="79"/>
      <c r="R163" s="79"/>
      <c r="S163" s="79"/>
      <c r="T163" s="79"/>
      <c r="U163" s="79"/>
      <c r="V163" s="79"/>
      <c r="W163" s="79"/>
      <c r="X163" s="79"/>
      <c r="Y163" s="79"/>
      <c r="Z163" s="79"/>
      <c r="AA163" s="79"/>
      <c r="AB163" s="79"/>
      <c r="AC163" s="79"/>
    </row>
    <row r="164" spans="10:29" x14ac:dyDescent="0.35">
      <c r="J164" s="79"/>
      <c r="K164" s="79"/>
      <c r="L164" s="79"/>
      <c r="M164" s="79"/>
      <c r="N164" s="79"/>
      <c r="O164" s="79"/>
      <c r="P164" s="79"/>
      <c r="Q164" s="79"/>
      <c r="R164" s="79"/>
      <c r="S164" s="79"/>
      <c r="T164" s="79"/>
      <c r="U164" s="79"/>
      <c r="V164" s="79"/>
      <c r="W164" s="79"/>
      <c r="X164" s="79"/>
      <c r="Y164" s="79"/>
      <c r="Z164" s="79"/>
      <c r="AA164" s="79"/>
      <c r="AB164" s="79"/>
      <c r="AC164" s="79"/>
    </row>
    <row r="165" spans="10:29" x14ac:dyDescent="0.35">
      <c r="J165" s="79"/>
      <c r="K165" s="79"/>
      <c r="L165" s="79"/>
      <c r="M165" s="79"/>
      <c r="N165" s="79"/>
      <c r="O165" s="79"/>
      <c r="P165" s="79"/>
      <c r="Q165" s="79"/>
      <c r="R165" s="79"/>
      <c r="S165" s="79"/>
      <c r="T165" s="79"/>
      <c r="U165" s="79"/>
      <c r="V165" s="79"/>
      <c r="W165" s="79"/>
      <c r="X165" s="79"/>
      <c r="Y165" s="79"/>
      <c r="Z165" s="79"/>
      <c r="AA165" s="79"/>
      <c r="AB165" s="79"/>
      <c r="AC165" s="79"/>
    </row>
    <row r="166" spans="10:29" x14ac:dyDescent="0.35">
      <c r="J166" s="79"/>
      <c r="K166" s="79"/>
      <c r="L166" s="79"/>
      <c r="M166" s="79"/>
      <c r="N166" s="79"/>
      <c r="O166" s="79"/>
      <c r="P166" s="79"/>
      <c r="Q166" s="79"/>
      <c r="R166" s="79"/>
      <c r="S166" s="79"/>
      <c r="T166" s="79"/>
      <c r="U166" s="79"/>
      <c r="V166" s="79"/>
      <c r="W166" s="79"/>
      <c r="X166" s="79"/>
      <c r="Y166" s="79"/>
      <c r="Z166" s="79"/>
      <c r="AA166" s="79"/>
      <c r="AB166" s="79"/>
      <c r="AC166" s="79"/>
    </row>
    <row r="167" spans="10:29" x14ac:dyDescent="0.35">
      <c r="J167" s="79"/>
      <c r="K167" s="79"/>
      <c r="L167" s="79"/>
      <c r="M167" s="79"/>
      <c r="N167" s="79"/>
      <c r="O167" s="79"/>
      <c r="P167" s="79"/>
      <c r="Q167" s="79"/>
      <c r="R167" s="79"/>
      <c r="S167" s="79"/>
      <c r="T167" s="79"/>
      <c r="U167" s="79"/>
      <c r="V167" s="79"/>
      <c r="W167" s="79"/>
      <c r="X167" s="79"/>
      <c r="Y167" s="79"/>
      <c r="Z167" s="79"/>
      <c r="AA167" s="79"/>
      <c r="AB167" s="79"/>
      <c r="AC167" s="79"/>
    </row>
    <row r="168" spans="10:29" x14ac:dyDescent="0.35">
      <c r="J168" s="79"/>
      <c r="K168" s="79"/>
      <c r="L168" s="79"/>
      <c r="M168" s="79"/>
      <c r="N168" s="79"/>
      <c r="O168" s="79"/>
      <c r="P168" s="79"/>
      <c r="Q168" s="79"/>
      <c r="R168" s="79"/>
      <c r="S168" s="79"/>
      <c r="T168" s="79"/>
      <c r="U168" s="79"/>
      <c r="V168" s="79"/>
      <c r="W168" s="79"/>
      <c r="X168" s="79"/>
      <c r="Y168" s="79"/>
      <c r="Z168" s="79"/>
      <c r="AA168" s="79"/>
      <c r="AB168" s="79"/>
      <c r="AC168" s="79"/>
    </row>
    <row r="169" spans="10:29" x14ac:dyDescent="0.35">
      <c r="J169" s="79"/>
      <c r="K169" s="79"/>
      <c r="L169" s="79"/>
      <c r="M169" s="79"/>
      <c r="N169" s="79"/>
      <c r="O169" s="79"/>
      <c r="P169" s="79"/>
      <c r="Q169" s="79"/>
      <c r="R169" s="79"/>
      <c r="S169" s="79"/>
      <c r="T169" s="79"/>
      <c r="U169" s="79"/>
      <c r="V169" s="79"/>
      <c r="W169" s="79"/>
      <c r="X169" s="79"/>
      <c r="Y169" s="79"/>
      <c r="Z169" s="79"/>
      <c r="AA169" s="79"/>
      <c r="AB169" s="79"/>
      <c r="AC169" s="79"/>
    </row>
    <row r="170" spans="10:29" x14ac:dyDescent="0.35">
      <c r="J170" s="79"/>
      <c r="K170" s="79"/>
      <c r="L170" s="79"/>
      <c r="M170" s="79"/>
      <c r="N170" s="79"/>
      <c r="O170" s="79"/>
      <c r="P170" s="79"/>
      <c r="Q170" s="79"/>
      <c r="R170" s="79"/>
      <c r="S170" s="79"/>
      <c r="T170" s="79"/>
      <c r="U170" s="79"/>
      <c r="V170" s="79"/>
      <c r="W170" s="79"/>
      <c r="X170" s="79"/>
      <c r="Y170" s="79"/>
      <c r="Z170" s="79"/>
      <c r="AA170" s="79"/>
      <c r="AB170" s="79"/>
      <c r="AC170" s="79"/>
    </row>
    <row r="171" spans="10:29" x14ac:dyDescent="0.35">
      <c r="J171" s="79"/>
      <c r="K171" s="79"/>
      <c r="L171" s="79"/>
      <c r="M171" s="79"/>
      <c r="N171" s="79"/>
      <c r="O171" s="79"/>
      <c r="P171" s="79"/>
      <c r="Q171" s="79"/>
      <c r="R171" s="79"/>
      <c r="S171" s="79"/>
      <c r="T171" s="79"/>
      <c r="U171" s="79"/>
      <c r="V171" s="79"/>
      <c r="W171" s="79"/>
      <c r="X171" s="79"/>
      <c r="Y171" s="79"/>
      <c r="Z171" s="79"/>
      <c r="AA171" s="79"/>
      <c r="AB171" s="79"/>
      <c r="AC171" s="79"/>
    </row>
    <row r="172" spans="10:29" x14ac:dyDescent="0.35">
      <c r="J172" s="79"/>
      <c r="K172" s="79"/>
      <c r="L172" s="79"/>
      <c r="M172" s="79"/>
      <c r="N172" s="79"/>
      <c r="O172" s="79"/>
      <c r="P172" s="79"/>
      <c r="Q172" s="79"/>
      <c r="R172" s="79"/>
      <c r="S172" s="79"/>
      <c r="T172" s="79"/>
      <c r="U172" s="79"/>
      <c r="V172" s="79"/>
      <c r="W172" s="79"/>
      <c r="X172" s="79"/>
      <c r="Y172" s="79"/>
      <c r="Z172" s="79"/>
      <c r="AA172" s="79"/>
      <c r="AB172" s="79"/>
      <c r="AC172" s="79"/>
    </row>
    <row r="173" spans="10:29" x14ac:dyDescent="0.35">
      <c r="J173" s="79"/>
      <c r="K173" s="79"/>
      <c r="L173" s="79"/>
      <c r="M173" s="79"/>
      <c r="N173" s="79"/>
      <c r="O173" s="79"/>
      <c r="P173" s="79"/>
      <c r="Q173" s="79"/>
      <c r="R173" s="79"/>
      <c r="S173" s="79"/>
      <c r="T173" s="79"/>
      <c r="U173" s="79"/>
      <c r="V173" s="79"/>
      <c r="W173" s="79"/>
      <c r="X173" s="79"/>
      <c r="Y173" s="79"/>
      <c r="Z173" s="79"/>
      <c r="AA173" s="79"/>
      <c r="AB173" s="79"/>
      <c r="AC173" s="79"/>
    </row>
    <row r="174" spans="10:29" x14ac:dyDescent="0.35">
      <c r="J174" s="79"/>
      <c r="K174" s="79"/>
      <c r="L174" s="79"/>
      <c r="M174" s="79"/>
      <c r="N174" s="79"/>
      <c r="O174" s="79"/>
      <c r="P174" s="79"/>
      <c r="Q174" s="79"/>
      <c r="R174" s="79"/>
      <c r="S174" s="79"/>
      <c r="T174" s="79"/>
      <c r="U174" s="79"/>
      <c r="V174" s="79"/>
      <c r="W174" s="79"/>
      <c r="X174" s="79"/>
      <c r="Y174" s="79"/>
      <c r="Z174" s="79"/>
      <c r="AA174" s="79"/>
      <c r="AB174" s="79"/>
      <c r="AC174" s="79"/>
    </row>
    <row r="175" spans="10:29" x14ac:dyDescent="0.35">
      <c r="J175" s="79"/>
      <c r="K175" s="79"/>
      <c r="L175" s="79"/>
      <c r="M175" s="79"/>
      <c r="N175" s="79"/>
      <c r="O175" s="79"/>
      <c r="P175" s="79"/>
      <c r="Q175" s="79"/>
      <c r="R175" s="79"/>
      <c r="S175" s="79"/>
      <c r="T175" s="79"/>
      <c r="U175" s="79"/>
      <c r="V175" s="79"/>
      <c r="W175" s="79"/>
      <c r="X175" s="79"/>
      <c r="Y175" s="79"/>
      <c r="Z175" s="79"/>
      <c r="AA175" s="79"/>
      <c r="AB175" s="79"/>
      <c r="AC175" s="79"/>
    </row>
    <row r="176" spans="10:29" x14ac:dyDescent="0.35">
      <c r="J176" s="79"/>
      <c r="K176" s="79"/>
      <c r="L176" s="79"/>
      <c r="M176" s="79"/>
      <c r="N176" s="79"/>
      <c r="O176" s="79"/>
      <c r="P176" s="79"/>
      <c r="Q176" s="79"/>
      <c r="R176" s="79"/>
      <c r="S176" s="79"/>
      <c r="T176" s="79"/>
      <c r="U176" s="79"/>
      <c r="V176" s="79"/>
      <c r="W176" s="79"/>
      <c r="X176" s="79"/>
      <c r="Y176" s="79"/>
      <c r="Z176" s="79"/>
      <c r="AA176" s="79"/>
      <c r="AB176" s="79"/>
      <c r="AC176" s="79"/>
    </row>
    <row r="177" spans="10:29" x14ac:dyDescent="0.35">
      <c r="J177" s="79"/>
      <c r="K177" s="79"/>
      <c r="L177" s="79"/>
      <c r="M177" s="79"/>
      <c r="N177" s="79"/>
      <c r="O177" s="79"/>
      <c r="P177" s="79"/>
      <c r="Q177" s="79"/>
      <c r="R177" s="79"/>
      <c r="S177" s="79"/>
      <c r="T177" s="79"/>
      <c r="U177" s="79"/>
      <c r="V177" s="79"/>
      <c r="W177" s="79"/>
      <c r="X177" s="79"/>
      <c r="Y177" s="79"/>
      <c r="Z177" s="79"/>
      <c r="AA177" s="79"/>
      <c r="AB177" s="79"/>
      <c r="AC177" s="79"/>
    </row>
    <row r="178" spans="10:29" x14ac:dyDescent="0.35">
      <c r="J178" s="79"/>
      <c r="K178" s="79"/>
      <c r="L178" s="79"/>
      <c r="M178" s="79"/>
      <c r="N178" s="79"/>
      <c r="O178" s="79"/>
      <c r="P178" s="79"/>
      <c r="Q178" s="79"/>
      <c r="R178" s="79"/>
      <c r="S178" s="79"/>
      <c r="T178" s="79"/>
      <c r="U178" s="79"/>
      <c r="V178" s="79"/>
      <c r="W178" s="79"/>
      <c r="X178" s="79"/>
      <c r="Y178" s="79"/>
      <c r="Z178" s="79"/>
      <c r="AA178" s="79"/>
      <c r="AB178" s="79"/>
      <c r="AC178" s="79"/>
    </row>
    <row r="179" spans="10:29" x14ac:dyDescent="0.35">
      <c r="J179" s="79"/>
      <c r="K179" s="79"/>
      <c r="L179" s="79"/>
      <c r="M179" s="79"/>
      <c r="N179" s="79"/>
      <c r="O179" s="79"/>
      <c r="P179" s="79"/>
      <c r="Q179" s="79"/>
      <c r="R179" s="79"/>
      <c r="S179" s="79"/>
      <c r="T179" s="79"/>
      <c r="U179" s="79"/>
      <c r="V179" s="79"/>
      <c r="W179" s="79"/>
      <c r="X179" s="79"/>
      <c r="Y179" s="79"/>
      <c r="Z179" s="79"/>
      <c r="AA179" s="79"/>
      <c r="AB179" s="79"/>
      <c r="AC179" s="79"/>
    </row>
    <row r="180" spans="10:29" x14ac:dyDescent="0.35">
      <c r="J180" s="79"/>
      <c r="K180" s="79"/>
      <c r="L180" s="79"/>
      <c r="M180" s="79"/>
      <c r="N180" s="79"/>
      <c r="O180" s="79"/>
      <c r="P180" s="79"/>
      <c r="Q180" s="79"/>
      <c r="R180" s="79"/>
      <c r="S180" s="79"/>
      <c r="T180" s="79"/>
      <c r="U180" s="79"/>
      <c r="V180" s="79"/>
      <c r="W180" s="79"/>
      <c r="X180" s="79"/>
      <c r="Y180" s="79"/>
      <c r="Z180" s="79"/>
      <c r="AA180" s="79"/>
      <c r="AB180" s="79"/>
      <c r="AC180" s="79"/>
    </row>
    <row r="181" spans="10:29" x14ac:dyDescent="0.35">
      <c r="J181" s="79"/>
      <c r="K181" s="79"/>
      <c r="L181" s="79"/>
      <c r="M181" s="79"/>
      <c r="N181" s="79"/>
      <c r="O181" s="79"/>
      <c r="P181" s="79"/>
      <c r="Q181" s="79"/>
      <c r="R181" s="79"/>
      <c r="S181" s="79"/>
      <c r="T181" s="79"/>
      <c r="U181" s="79"/>
      <c r="V181" s="79"/>
      <c r="W181" s="79"/>
      <c r="X181" s="79"/>
      <c r="Y181" s="79"/>
      <c r="Z181" s="79"/>
      <c r="AA181" s="79"/>
      <c r="AB181" s="79"/>
      <c r="AC181" s="79"/>
    </row>
    <row r="182" spans="10:29" x14ac:dyDescent="0.35">
      <c r="J182" s="79"/>
      <c r="K182" s="79"/>
      <c r="L182" s="79"/>
      <c r="M182" s="79"/>
      <c r="N182" s="79"/>
      <c r="O182" s="79"/>
      <c r="P182" s="79"/>
      <c r="Q182" s="79"/>
      <c r="R182" s="79"/>
      <c r="S182" s="79"/>
      <c r="T182" s="79"/>
      <c r="U182" s="79"/>
      <c r="V182" s="79"/>
      <c r="W182" s="79"/>
      <c r="X182" s="79"/>
      <c r="Y182" s="79"/>
      <c r="Z182" s="79"/>
      <c r="AA182" s="79"/>
      <c r="AB182" s="79"/>
      <c r="AC182" s="79"/>
    </row>
    <row r="183" spans="10:29" x14ac:dyDescent="0.35">
      <c r="J183" s="79"/>
      <c r="K183" s="79"/>
      <c r="L183" s="79"/>
      <c r="M183" s="79"/>
      <c r="N183" s="79"/>
      <c r="O183" s="79"/>
      <c r="P183" s="79"/>
      <c r="Q183" s="79"/>
      <c r="R183" s="79"/>
      <c r="S183" s="79"/>
      <c r="T183" s="79"/>
      <c r="U183" s="79"/>
      <c r="V183" s="79"/>
      <c r="W183" s="79"/>
      <c r="X183" s="79"/>
      <c r="Y183" s="79"/>
      <c r="Z183" s="79"/>
      <c r="AA183" s="79"/>
      <c r="AB183" s="79"/>
      <c r="AC183" s="79"/>
    </row>
    <row r="184" spans="10:29" x14ac:dyDescent="0.35">
      <c r="J184" s="79"/>
      <c r="K184" s="79"/>
      <c r="L184" s="79"/>
      <c r="M184" s="79"/>
      <c r="N184" s="79"/>
      <c r="O184" s="79"/>
      <c r="P184" s="79"/>
      <c r="Q184" s="79"/>
      <c r="R184" s="79"/>
      <c r="S184" s="79"/>
      <c r="T184" s="79"/>
      <c r="U184" s="79"/>
      <c r="V184" s="79"/>
      <c r="W184" s="79"/>
      <c r="X184" s="79"/>
      <c r="Y184" s="79"/>
      <c r="Z184" s="79"/>
      <c r="AA184" s="79"/>
      <c r="AB184" s="79"/>
      <c r="AC184" s="79"/>
    </row>
    <row r="185" spans="10:29" x14ac:dyDescent="0.35">
      <c r="J185" s="79"/>
      <c r="K185" s="79"/>
      <c r="L185" s="79"/>
      <c r="M185" s="79"/>
      <c r="N185" s="79"/>
      <c r="O185" s="79"/>
      <c r="P185" s="79"/>
      <c r="Q185" s="79"/>
      <c r="R185" s="79"/>
      <c r="S185" s="79"/>
      <c r="T185" s="79"/>
      <c r="U185" s="79"/>
      <c r="V185" s="79"/>
      <c r="W185" s="79"/>
      <c r="X185" s="79"/>
      <c r="Y185" s="79"/>
      <c r="Z185" s="79"/>
      <c r="AA185" s="79"/>
      <c r="AB185" s="79"/>
      <c r="AC185" s="79"/>
    </row>
    <row r="186" spans="10:29" x14ac:dyDescent="0.35">
      <c r="J186" s="79"/>
      <c r="K186" s="79"/>
      <c r="L186" s="79"/>
      <c r="M186" s="79"/>
      <c r="N186" s="79"/>
      <c r="O186" s="79"/>
      <c r="P186" s="79"/>
      <c r="Q186" s="79"/>
      <c r="R186" s="79"/>
      <c r="S186" s="79"/>
      <c r="T186" s="79"/>
      <c r="U186" s="79"/>
      <c r="V186" s="79"/>
      <c r="W186" s="79"/>
      <c r="X186" s="79"/>
      <c r="Y186" s="79"/>
      <c r="Z186" s="79"/>
      <c r="AA186" s="79"/>
      <c r="AB186" s="79"/>
      <c r="AC186" s="79"/>
    </row>
    <row r="187" spans="10:29" x14ac:dyDescent="0.35">
      <c r="J187" s="79"/>
      <c r="K187" s="79"/>
      <c r="L187" s="79"/>
      <c r="M187" s="79"/>
      <c r="N187" s="79"/>
      <c r="O187" s="79"/>
      <c r="P187" s="79"/>
      <c r="Q187" s="79"/>
      <c r="R187" s="79"/>
      <c r="S187" s="79"/>
      <c r="T187" s="79"/>
      <c r="U187" s="79"/>
      <c r="V187" s="79"/>
      <c r="W187" s="79"/>
      <c r="X187" s="79"/>
      <c r="Y187" s="79"/>
      <c r="Z187" s="79"/>
      <c r="AA187" s="79"/>
      <c r="AB187" s="79"/>
      <c r="AC187" s="79"/>
    </row>
    <row r="188" spans="10:29" x14ac:dyDescent="0.35">
      <c r="J188" s="79"/>
      <c r="K188" s="79"/>
      <c r="L188" s="79"/>
      <c r="M188" s="79"/>
      <c r="N188" s="79"/>
      <c r="O188" s="79"/>
      <c r="P188" s="79"/>
      <c r="Q188" s="79"/>
      <c r="R188" s="79"/>
      <c r="S188" s="79"/>
      <c r="T188" s="79"/>
      <c r="U188" s="79"/>
      <c r="V188" s="79"/>
      <c r="W188" s="79"/>
      <c r="X188" s="79"/>
      <c r="Y188" s="79"/>
      <c r="Z188" s="79"/>
      <c r="AA188" s="79"/>
      <c r="AB188" s="79"/>
      <c r="AC188" s="79"/>
    </row>
    <row r="189" spans="10:29" x14ac:dyDescent="0.35">
      <c r="J189" s="79"/>
      <c r="K189" s="79"/>
      <c r="L189" s="79"/>
      <c r="M189" s="79"/>
      <c r="N189" s="79"/>
      <c r="O189" s="79"/>
      <c r="P189" s="79"/>
      <c r="Q189" s="79"/>
      <c r="R189" s="79"/>
      <c r="S189" s="79"/>
      <c r="T189" s="79"/>
      <c r="U189" s="79"/>
      <c r="V189" s="79"/>
      <c r="W189" s="79"/>
      <c r="X189" s="79"/>
      <c r="Y189" s="79"/>
      <c r="Z189" s="79"/>
      <c r="AA189" s="79"/>
      <c r="AB189" s="79"/>
      <c r="AC189" s="79"/>
    </row>
    <row r="190" spans="10:29" x14ac:dyDescent="0.35">
      <c r="J190" s="79"/>
      <c r="K190" s="79"/>
      <c r="L190" s="79"/>
      <c r="M190" s="79"/>
      <c r="N190" s="79"/>
      <c r="O190" s="79"/>
      <c r="P190" s="79"/>
      <c r="Q190" s="79"/>
      <c r="R190" s="79"/>
      <c r="S190" s="79"/>
      <c r="T190" s="79"/>
      <c r="U190" s="79"/>
      <c r="V190" s="79"/>
      <c r="W190" s="79"/>
      <c r="X190" s="79"/>
      <c r="Y190" s="79"/>
      <c r="Z190" s="79"/>
      <c r="AA190" s="79"/>
      <c r="AB190" s="79"/>
      <c r="AC190" s="79"/>
    </row>
    <row r="191" spans="10:29" x14ac:dyDescent="0.35">
      <c r="J191" s="79"/>
      <c r="K191" s="79"/>
      <c r="L191" s="79"/>
      <c r="M191" s="79"/>
      <c r="N191" s="79"/>
      <c r="O191" s="79"/>
      <c r="P191" s="79"/>
      <c r="Q191" s="79"/>
      <c r="R191" s="79"/>
      <c r="S191" s="79"/>
      <c r="T191" s="79"/>
      <c r="U191" s="79"/>
      <c r="V191" s="79"/>
      <c r="W191" s="79"/>
      <c r="X191" s="79"/>
      <c r="Y191" s="79"/>
      <c r="Z191" s="79"/>
      <c r="AA191" s="79"/>
      <c r="AB191" s="79"/>
      <c r="AC191" s="79"/>
    </row>
    <row r="192" spans="10:29" x14ac:dyDescent="0.35">
      <c r="J192" s="79"/>
      <c r="K192" s="79"/>
      <c r="L192" s="79"/>
      <c r="M192" s="79"/>
      <c r="N192" s="79"/>
      <c r="O192" s="79"/>
      <c r="P192" s="79"/>
      <c r="Q192" s="79"/>
      <c r="R192" s="79"/>
      <c r="S192" s="79"/>
      <c r="T192" s="79"/>
      <c r="U192" s="79"/>
      <c r="V192" s="79"/>
      <c r="W192" s="79"/>
      <c r="X192" s="79"/>
      <c r="Y192" s="79"/>
      <c r="Z192" s="79"/>
      <c r="AA192" s="79"/>
      <c r="AB192" s="79"/>
      <c r="AC192" s="79"/>
    </row>
    <row r="193" spans="10:29" x14ac:dyDescent="0.35">
      <c r="J193" s="79"/>
      <c r="K193" s="79"/>
      <c r="L193" s="79"/>
      <c r="M193" s="79"/>
      <c r="N193" s="79"/>
      <c r="O193" s="79"/>
      <c r="P193" s="79"/>
      <c r="Q193" s="79"/>
      <c r="R193" s="79"/>
      <c r="S193" s="79"/>
      <c r="T193" s="79"/>
      <c r="U193" s="79"/>
      <c r="V193" s="79"/>
      <c r="W193" s="79"/>
      <c r="X193" s="79"/>
      <c r="Y193" s="79"/>
      <c r="Z193" s="79"/>
      <c r="AA193" s="79"/>
      <c r="AB193" s="79"/>
      <c r="AC193" s="79"/>
    </row>
    <row r="194" spans="10:29" x14ac:dyDescent="0.35">
      <c r="J194" s="79"/>
      <c r="K194" s="79"/>
      <c r="L194" s="79"/>
      <c r="M194" s="79"/>
      <c r="N194" s="79"/>
      <c r="O194" s="79"/>
      <c r="P194" s="79"/>
      <c r="Q194" s="79"/>
      <c r="R194" s="79"/>
      <c r="S194" s="79"/>
      <c r="T194" s="79"/>
      <c r="U194" s="79"/>
      <c r="V194" s="79"/>
      <c r="W194" s="79"/>
      <c r="X194" s="79"/>
      <c r="Y194" s="79"/>
      <c r="Z194" s="79"/>
      <c r="AA194" s="79"/>
      <c r="AB194" s="79"/>
      <c r="AC194" s="79"/>
    </row>
    <row r="195" spans="10:29" x14ac:dyDescent="0.35">
      <c r="J195" s="79"/>
      <c r="K195" s="79"/>
      <c r="L195" s="79"/>
      <c r="M195" s="79"/>
      <c r="N195" s="79"/>
      <c r="O195" s="79"/>
      <c r="P195" s="79"/>
      <c r="Q195" s="79"/>
      <c r="R195" s="79"/>
      <c r="S195" s="79"/>
      <c r="T195" s="79"/>
      <c r="U195" s="79"/>
      <c r="V195" s="79"/>
      <c r="W195" s="79"/>
      <c r="X195" s="79"/>
      <c r="Y195" s="79"/>
      <c r="Z195" s="79"/>
      <c r="AA195" s="79"/>
      <c r="AB195" s="79"/>
      <c r="AC195" s="79"/>
    </row>
    <row r="196" spans="10:29" x14ac:dyDescent="0.35">
      <c r="J196" s="79"/>
      <c r="K196" s="79"/>
      <c r="L196" s="79"/>
      <c r="M196" s="79"/>
      <c r="N196" s="79"/>
      <c r="O196" s="79"/>
      <c r="P196" s="79"/>
      <c r="Q196" s="79"/>
      <c r="R196" s="79"/>
      <c r="S196" s="79"/>
      <c r="T196" s="79"/>
      <c r="U196" s="79"/>
      <c r="V196" s="79"/>
      <c r="W196" s="79"/>
      <c r="X196" s="79"/>
      <c r="Y196" s="79"/>
      <c r="Z196" s="79"/>
      <c r="AA196" s="79"/>
      <c r="AB196" s="79"/>
      <c r="AC196" s="79"/>
    </row>
    <row r="197" spans="10:29" x14ac:dyDescent="0.35">
      <c r="J197" s="79"/>
      <c r="K197" s="79"/>
      <c r="L197" s="79"/>
      <c r="M197" s="79"/>
      <c r="N197" s="79"/>
      <c r="O197" s="79"/>
      <c r="P197" s="79"/>
      <c r="Q197" s="79"/>
      <c r="R197" s="79"/>
      <c r="S197" s="79"/>
      <c r="T197" s="79"/>
      <c r="U197" s="79"/>
      <c r="V197" s="79"/>
      <c r="W197" s="79"/>
      <c r="X197" s="79"/>
      <c r="Y197" s="79"/>
      <c r="Z197" s="79"/>
      <c r="AA197" s="79"/>
      <c r="AB197" s="79"/>
      <c r="AC197" s="79"/>
    </row>
    <row r="198" spans="10:29" x14ac:dyDescent="0.35">
      <c r="J198" s="79"/>
      <c r="K198" s="79"/>
      <c r="L198" s="79"/>
      <c r="M198" s="79"/>
      <c r="N198" s="79"/>
      <c r="O198" s="79"/>
      <c r="P198" s="79"/>
      <c r="Q198" s="79"/>
      <c r="R198" s="79"/>
      <c r="S198" s="79"/>
      <c r="T198" s="79"/>
      <c r="U198" s="79"/>
      <c r="V198" s="79"/>
      <c r="W198" s="79"/>
      <c r="X198" s="79"/>
      <c r="Y198" s="79"/>
      <c r="Z198" s="79"/>
      <c r="AA198" s="79"/>
      <c r="AB198" s="79"/>
      <c r="AC198" s="79"/>
    </row>
    <row r="199" spans="10:29" x14ac:dyDescent="0.35">
      <c r="J199" s="79"/>
      <c r="K199" s="79"/>
      <c r="L199" s="79"/>
      <c r="M199" s="79"/>
      <c r="N199" s="79"/>
      <c r="O199" s="79"/>
      <c r="P199" s="79"/>
      <c r="Q199" s="79"/>
      <c r="R199" s="79"/>
      <c r="S199" s="79"/>
      <c r="T199" s="79"/>
      <c r="U199" s="79"/>
      <c r="V199" s="79"/>
      <c r="W199" s="79"/>
      <c r="X199" s="79"/>
      <c r="Y199" s="79"/>
      <c r="Z199" s="79"/>
      <c r="AA199" s="79"/>
      <c r="AB199" s="79"/>
      <c r="AC199" s="79"/>
    </row>
    <row r="200" spans="10:29" x14ac:dyDescent="0.35">
      <c r="J200" s="79"/>
      <c r="K200" s="79"/>
      <c r="L200" s="79"/>
      <c r="M200" s="79"/>
      <c r="N200" s="79"/>
      <c r="O200" s="79"/>
      <c r="P200" s="79"/>
      <c r="Q200" s="79"/>
      <c r="R200" s="79"/>
      <c r="S200" s="79"/>
      <c r="T200" s="79"/>
      <c r="U200" s="79"/>
      <c r="V200" s="79"/>
      <c r="W200" s="79"/>
      <c r="X200" s="79"/>
      <c r="Y200" s="79"/>
      <c r="Z200" s="79"/>
      <c r="AA200" s="79"/>
      <c r="AB200" s="79"/>
      <c r="AC200" s="79"/>
    </row>
    <row r="201" spans="10:29" x14ac:dyDescent="0.35">
      <c r="J201" s="79"/>
      <c r="K201" s="79"/>
      <c r="L201" s="79"/>
      <c r="M201" s="79"/>
      <c r="N201" s="79"/>
      <c r="O201" s="79"/>
      <c r="P201" s="79"/>
      <c r="Q201" s="79"/>
      <c r="R201" s="79"/>
      <c r="S201" s="79"/>
      <c r="T201" s="79"/>
      <c r="U201" s="79"/>
      <c r="V201" s="79"/>
      <c r="W201" s="79"/>
      <c r="X201" s="79"/>
      <c r="Y201" s="79"/>
      <c r="Z201" s="79"/>
      <c r="AA201" s="79"/>
      <c r="AB201" s="79"/>
      <c r="AC201" s="79"/>
    </row>
    <row r="202" spans="10:29" x14ac:dyDescent="0.35">
      <c r="J202" s="79"/>
      <c r="K202" s="79"/>
      <c r="L202" s="79"/>
      <c r="M202" s="79"/>
      <c r="N202" s="79"/>
      <c r="O202" s="79"/>
      <c r="P202" s="79"/>
      <c r="Q202" s="79"/>
      <c r="R202" s="79"/>
      <c r="S202" s="79"/>
      <c r="T202" s="79"/>
      <c r="U202" s="79"/>
      <c r="V202" s="79"/>
      <c r="W202" s="79"/>
      <c r="X202" s="79"/>
      <c r="Y202" s="79"/>
      <c r="Z202" s="79"/>
      <c r="AA202" s="79"/>
      <c r="AB202" s="79"/>
      <c r="AC202" s="79"/>
    </row>
    <row r="203" spans="10:29" x14ac:dyDescent="0.35">
      <c r="J203" s="79"/>
      <c r="K203" s="79"/>
      <c r="L203" s="79"/>
      <c r="M203" s="79"/>
      <c r="N203" s="79"/>
      <c r="O203" s="79"/>
      <c r="P203" s="79"/>
      <c r="Q203" s="79"/>
      <c r="R203" s="79"/>
      <c r="S203" s="79"/>
      <c r="T203" s="79"/>
      <c r="U203" s="79"/>
      <c r="V203" s="79"/>
      <c r="W203" s="79"/>
      <c r="X203" s="79"/>
      <c r="Y203" s="79"/>
      <c r="Z203" s="79"/>
      <c r="AA203" s="79"/>
      <c r="AB203" s="79"/>
      <c r="AC203" s="79"/>
    </row>
    <row r="204" spans="10:29" x14ac:dyDescent="0.35">
      <c r="J204" s="79"/>
      <c r="K204" s="79"/>
      <c r="L204" s="79"/>
      <c r="M204" s="79"/>
      <c r="N204" s="79"/>
      <c r="O204" s="79"/>
      <c r="P204" s="79"/>
      <c r="Q204" s="79"/>
      <c r="R204" s="79"/>
      <c r="S204" s="79"/>
      <c r="T204" s="79"/>
      <c r="U204" s="79"/>
      <c r="V204" s="79"/>
      <c r="W204" s="79"/>
      <c r="X204" s="79"/>
      <c r="Y204" s="79"/>
      <c r="Z204" s="79"/>
      <c r="AA204" s="79"/>
      <c r="AB204" s="79"/>
      <c r="AC204" s="79"/>
    </row>
    <row r="205" spans="10:29" x14ac:dyDescent="0.35">
      <c r="J205" s="79"/>
      <c r="K205" s="79"/>
      <c r="L205" s="79"/>
      <c r="M205" s="79"/>
      <c r="N205" s="79"/>
      <c r="O205" s="79"/>
      <c r="P205" s="79"/>
      <c r="Q205" s="79"/>
      <c r="R205" s="79"/>
      <c r="S205" s="79"/>
      <c r="T205" s="79"/>
      <c r="U205" s="79"/>
      <c r="V205" s="79"/>
      <c r="W205" s="79"/>
      <c r="X205" s="79"/>
      <c r="Y205" s="79"/>
      <c r="Z205" s="79"/>
      <c r="AA205" s="79"/>
      <c r="AB205" s="79"/>
      <c r="AC205" s="79"/>
    </row>
    <row r="206" spans="10:29" x14ac:dyDescent="0.35">
      <c r="J206" s="79"/>
      <c r="K206" s="79"/>
      <c r="L206" s="79"/>
      <c r="M206" s="79"/>
      <c r="N206" s="79"/>
      <c r="O206" s="79"/>
      <c r="P206" s="79"/>
      <c r="Q206" s="79"/>
      <c r="R206" s="79"/>
      <c r="S206" s="79"/>
      <c r="T206" s="79"/>
      <c r="U206" s="79"/>
      <c r="V206" s="79"/>
      <c r="W206" s="79"/>
      <c r="X206" s="79"/>
      <c r="Y206" s="79"/>
      <c r="Z206" s="79"/>
      <c r="AA206" s="79"/>
      <c r="AB206" s="79"/>
      <c r="AC206" s="79"/>
    </row>
    <row r="207" spans="10:29" x14ac:dyDescent="0.35">
      <c r="J207" s="79"/>
      <c r="K207" s="79"/>
      <c r="L207" s="79"/>
      <c r="M207" s="79"/>
      <c r="N207" s="79"/>
      <c r="O207" s="79"/>
      <c r="P207" s="79"/>
      <c r="Q207" s="79"/>
      <c r="R207" s="79"/>
      <c r="S207" s="79"/>
      <c r="T207" s="79"/>
      <c r="U207" s="79"/>
      <c r="V207" s="79"/>
      <c r="W207" s="79"/>
      <c r="X207" s="79"/>
      <c r="Y207" s="79"/>
      <c r="Z207" s="79"/>
      <c r="AA207" s="79"/>
      <c r="AB207" s="79"/>
      <c r="AC207" s="79"/>
    </row>
    <row r="208" spans="10:29" x14ac:dyDescent="0.35">
      <c r="J208" s="79"/>
      <c r="K208" s="79"/>
      <c r="L208" s="79"/>
      <c r="M208" s="79"/>
      <c r="N208" s="79"/>
      <c r="O208" s="79"/>
      <c r="P208" s="79"/>
      <c r="Q208" s="79"/>
      <c r="R208" s="79"/>
      <c r="S208" s="79"/>
      <c r="T208" s="79"/>
      <c r="U208" s="79"/>
      <c r="V208" s="79"/>
      <c r="W208" s="79"/>
      <c r="X208" s="79"/>
      <c r="Y208" s="79"/>
      <c r="Z208" s="79"/>
      <c r="AA208" s="79"/>
      <c r="AB208" s="79"/>
      <c r="AC208" s="79"/>
    </row>
    <row r="209" spans="10:29" x14ac:dyDescent="0.35">
      <c r="J209" s="79"/>
      <c r="K209" s="79"/>
      <c r="L209" s="79"/>
      <c r="M209" s="79"/>
      <c r="N209" s="79"/>
      <c r="O209" s="79"/>
      <c r="P209" s="79"/>
      <c r="Q209" s="79"/>
      <c r="R209" s="79"/>
      <c r="S209" s="79"/>
      <c r="T209" s="79"/>
      <c r="U209" s="79"/>
      <c r="V209" s="79"/>
      <c r="W209" s="79"/>
      <c r="X209" s="79"/>
      <c r="Y209" s="79"/>
      <c r="Z209" s="79"/>
      <c r="AA209" s="79"/>
      <c r="AB209" s="79"/>
      <c r="AC209" s="79"/>
    </row>
    <row r="210" spans="10:29" x14ac:dyDescent="0.35">
      <c r="J210" s="79"/>
      <c r="K210" s="79"/>
      <c r="L210" s="79"/>
      <c r="M210" s="79"/>
      <c r="N210" s="79"/>
      <c r="O210" s="79"/>
      <c r="P210" s="79"/>
      <c r="Q210" s="79"/>
      <c r="R210" s="79"/>
      <c r="S210" s="79"/>
      <c r="T210" s="79"/>
      <c r="U210" s="79"/>
      <c r="V210" s="79"/>
      <c r="W210" s="79"/>
      <c r="X210" s="79"/>
      <c r="Y210" s="79"/>
      <c r="Z210" s="79"/>
      <c r="AA210" s="79"/>
      <c r="AB210" s="79"/>
      <c r="AC210" s="79"/>
    </row>
    <row r="211" spans="10:29" x14ac:dyDescent="0.35">
      <c r="J211" s="79"/>
      <c r="K211" s="79"/>
      <c r="L211" s="79"/>
      <c r="M211" s="79"/>
      <c r="N211" s="79"/>
      <c r="O211" s="79"/>
      <c r="P211" s="79"/>
      <c r="Q211" s="79"/>
      <c r="R211" s="79"/>
      <c r="S211" s="79"/>
      <c r="T211" s="79"/>
      <c r="U211" s="79"/>
      <c r="V211" s="79"/>
      <c r="W211" s="79"/>
      <c r="X211" s="79"/>
      <c r="Y211" s="79"/>
      <c r="Z211" s="79"/>
      <c r="AA211" s="79"/>
      <c r="AB211" s="79"/>
      <c r="AC211" s="79"/>
    </row>
    <row r="212" spans="10:29" x14ac:dyDescent="0.35">
      <c r="J212" s="79"/>
      <c r="K212" s="79"/>
      <c r="L212" s="79"/>
      <c r="M212" s="79"/>
      <c r="N212" s="79"/>
      <c r="O212" s="79"/>
      <c r="P212" s="79"/>
      <c r="Q212" s="79"/>
      <c r="R212" s="79"/>
      <c r="S212" s="79"/>
      <c r="T212" s="79"/>
      <c r="U212" s="79"/>
      <c r="V212" s="79"/>
      <c r="W212" s="79"/>
      <c r="X212" s="79"/>
      <c r="Y212" s="79"/>
      <c r="Z212" s="79"/>
      <c r="AA212" s="79"/>
      <c r="AB212" s="79"/>
      <c r="AC212" s="79"/>
    </row>
    <row r="213" spans="10:29" x14ac:dyDescent="0.35">
      <c r="J213" s="79"/>
      <c r="K213" s="79"/>
      <c r="L213" s="79"/>
      <c r="M213" s="79"/>
      <c r="N213" s="79"/>
      <c r="O213" s="79"/>
      <c r="P213" s="79"/>
      <c r="Q213" s="79"/>
      <c r="R213" s="79"/>
      <c r="S213" s="79"/>
      <c r="T213" s="79"/>
      <c r="U213" s="79"/>
      <c r="V213" s="79"/>
      <c r="W213" s="79"/>
      <c r="X213" s="79"/>
      <c r="Y213" s="79"/>
      <c r="Z213" s="79"/>
      <c r="AA213" s="79"/>
      <c r="AB213" s="79"/>
      <c r="AC213" s="79"/>
    </row>
    <row r="214" spans="10:29" x14ac:dyDescent="0.35">
      <c r="J214" s="79"/>
      <c r="K214" s="79"/>
      <c r="L214" s="79"/>
      <c r="M214" s="79"/>
      <c r="N214" s="79"/>
      <c r="O214" s="79"/>
      <c r="P214" s="79"/>
      <c r="Q214" s="79"/>
      <c r="R214" s="79"/>
      <c r="S214" s="79"/>
      <c r="T214" s="79"/>
      <c r="U214" s="79"/>
      <c r="V214" s="79"/>
      <c r="W214" s="79"/>
      <c r="X214" s="79"/>
      <c r="Y214" s="79"/>
      <c r="Z214" s="79"/>
      <c r="AA214" s="79"/>
      <c r="AB214" s="79"/>
      <c r="AC214" s="79"/>
    </row>
    <row r="215" spans="10:29" x14ac:dyDescent="0.35">
      <c r="J215" s="79"/>
      <c r="K215" s="79"/>
      <c r="L215" s="79"/>
      <c r="M215" s="79"/>
      <c r="N215" s="79"/>
      <c r="O215" s="79"/>
      <c r="P215" s="79"/>
      <c r="Q215" s="79"/>
      <c r="R215" s="79"/>
      <c r="S215" s="79"/>
      <c r="T215" s="79"/>
      <c r="U215" s="79"/>
      <c r="V215" s="79"/>
      <c r="W215" s="79"/>
      <c r="X215" s="79"/>
      <c r="Y215" s="79"/>
      <c r="Z215" s="79"/>
      <c r="AA215" s="79"/>
      <c r="AB215" s="79"/>
      <c r="AC215" s="79"/>
    </row>
    <row r="216" spans="10:29" x14ac:dyDescent="0.35">
      <c r="J216" s="79"/>
      <c r="K216" s="79"/>
      <c r="L216" s="79"/>
      <c r="M216" s="79"/>
      <c r="N216" s="79"/>
      <c r="O216" s="79"/>
      <c r="P216" s="79"/>
      <c r="Q216" s="79"/>
      <c r="R216" s="79"/>
      <c r="S216" s="79"/>
      <c r="T216" s="79"/>
      <c r="U216" s="79"/>
      <c r="V216" s="79"/>
      <c r="W216" s="79"/>
      <c r="X216" s="79"/>
      <c r="Y216" s="79"/>
      <c r="Z216" s="79"/>
      <c r="AA216" s="79"/>
      <c r="AB216" s="79"/>
      <c r="AC216" s="79"/>
    </row>
    <row r="217" spans="10:29" x14ac:dyDescent="0.35">
      <c r="J217" s="79"/>
      <c r="K217" s="79"/>
      <c r="L217" s="79"/>
      <c r="M217" s="79"/>
      <c r="N217" s="79"/>
      <c r="O217" s="79"/>
      <c r="P217" s="79"/>
      <c r="Q217" s="79"/>
      <c r="R217" s="79"/>
      <c r="S217" s="79"/>
      <c r="T217" s="79"/>
      <c r="U217" s="79"/>
      <c r="V217" s="79"/>
      <c r="W217" s="79"/>
      <c r="X217" s="79"/>
      <c r="Y217" s="79"/>
      <c r="Z217" s="79"/>
      <c r="AA217" s="79"/>
      <c r="AB217" s="79"/>
      <c r="AC217" s="79"/>
    </row>
    <row r="218" spans="10:29" x14ac:dyDescent="0.35">
      <c r="J218" s="79"/>
      <c r="K218" s="79"/>
      <c r="L218" s="79"/>
      <c r="M218" s="79"/>
      <c r="N218" s="79"/>
      <c r="O218" s="79"/>
      <c r="P218" s="79"/>
      <c r="Q218" s="79"/>
      <c r="R218" s="79"/>
      <c r="S218" s="79"/>
      <c r="T218" s="79"/>
      <c r="U218" s="79"/>
      <c r="V218" s="79"/>
      <c r="W218" s="79"/>
      <c r="X218" s="79"/>
      <c r="Y218" s="79"/>
      <c r="Z218" s="79"/>
      <c r="AA218" s="79"/>
      <c r="AB218" s="79"/>
      <c r="AC218" s="79"/>
    </row>
    <row r="219" spans="10:29" x14ac:dyDescent="0.35">
      <c r="J219" s="79"/>
      <c r="K219" s="79"/>
      <c r="L219" s="79"/>
      <c r="M219" s="79"/>
      <c r="N219" s="79"/>
      <c r="O219" s="79"/>
      <c r="P219" s="79"/>
      <c r="Q219" s="79"/>
      <c r="R219" s="79"/>
      <c r="S219" s="79"/>
      <c r="T219" s="79"/>
      <c r="U219" s="79"/>
      <c r="V219" s="79"/>
      <c r="W219" s="79"/>
      <c r="X219" s="79"/>
      <c r="Y219" s="79"/>
      <c r="Z219" s="79"/>
      <c r="AA219" s="79"/>
      <c r="AB219" s="79"/>
      <c r="AC219" s="79"/>
    </row>
    <row r="220" spans="10:29" x14ac:dyDescent="0.35">
      <c r="J220" s="79"/>
      <c r="K220" s="79"/>
      <c r="L220" s="79"/>
      <c r="M220" s="79"/>
      <c r="N220" s="79"/>
      <c r="O220" s="79"/>
      <c r="P220" s="79"/>
      <c r="Q220" s="79"/>
      <c r="R220" s="79"/>
      <c r="S220" s="79"/>
      <c r="T220" s="79"/>
      <c r="U220" s="79"/>
      <c r="V220" s="79"/>
      <c r="W220" s="79"/>
      <c r="X220" s="79"/>
      <c r="Y220" s="79"/>
      <c r="Z220" s="79"/>
      <c r="AA220" s="79"/>
      <c r="AB220" s="79"/>
      <c r="AC220" s="79"/>
    </row>
    <row r="221" spans="10:29" x14ac:dyDescent="0.35">
      <c r="J221" s="79"/>
      <c r="K221" s="79"/>
      <c r="L221" s="79"/>
      <c r="M221" s="79"/>
      <c r="N221" s="79"/>
      <c r="O221" s="79"/>
      <c r="P221" s="79"/>
      <c r="Q221" s="79"/>
      <c r="R221" s="79"/>
      <c r="S221" s="79"/>
      <c r="T221" s="79"/>
      <c r="U221" s="79"/>
      <c r="V221" s="79"/>
      <c r="W221" s="79"/>
      <c r="X221" s="79"/>
      <c r="Y221" s="79"/>
      <c r="Z221" s="79"/>
      <c r="AA221" s="79"/>
      <c r="AB221" s="79"/>
      <c r="AC221" s="79"/>
    </row>
    <row r="222" spans="10:29" x14ac:dyDescent="0.35">
      <c r="J222" s="79"/>
      <c r="K222" s="79"/>
      <c r="L222" s="79"/>
      <c r="M222" s="79"/>
      <c r="N222" s="79"/>
      <c r="O222" s="79"/>
      <c r="P222" s="79"/>
      <c r="Q222" s="79"/>
      <c r="R222" s="79"/>
      <c r="S222" s="79"/>
      <c r="T222" s="79"/>
      <c r="U222" s="79"/>
      <c r="V222" s="79"/>
      <c r="W222" s="79"/>
      <c r="X222" s="79"/>
      <c r="Y222" s="79"/>
      <c r="Z222" s="79"/>
      <c r="AA222" s="79"/>
      <c r="AB222" s="79"/>
      <c r="AC222" s="79"/>
    </row>
    <row r="223" spans="10:29" x14ac:dyDescent="0.35">
      <c r="J223" s="79"/>
      <c r="K223" s="79"/>
      <c r="L223" s="79"/>
      <c r="M223" s="79"/>
      <c r="N223" s="79"/>
      <c r="O223" s="79"/>
      <c r="P223" s="79"/>
      <c r="Q223" s="79"/>
      <c r="R223" s="79"/>
      <c r="S223" s="79"/>
      <c r="T223" s="79"/>
      <c r="U223" s="79"/>
      <c r="V223" s="79"/>
      <c r="W223" s="79"/>
      <c r="X223" s="79"/>
      <c r="Y223" s="79"/>
      <c r="Z223" s="79"/>
      <c r="AA223" s="79"/>
      <c r="AB223" s="79"/>
      <c r="AC223" s="79"/>
    </row>
    <row r="224" spans="10:29" x14ac:dyDescent="0.35">
      <c r="J224" s="79"/>
      <c r="K224" s="79"/>
      <c r="L224" s="79"/>
      <c r="M224" s="79"/>
      <c r="N224" s="79"/>
      <c r="O224" s="79"/>
      <c r="P224" s="79"/>
      <c r="Q224" s="79"/>
      <c r="R224" s="79"/>
      <c r="S224" s="79"/>
      <c r="T224" s="79"/>
      <c r="U224" s="79"/>
      <c r="V224" s="79"/>
      <c r="W224" s="79"/>
      <c r="X224" s="79"/>
      <c r="Y224" s="79"/>
      <c r="Z224" s="79"/>
      <c r="AA224" s="79"/>
      <c r="AB224" s="79"/>
      <c r="AC224" s="79"/>
    </row>
    <row r="225" spans="10:29" x14ac:dyDescent="0.35">
      <c r="J225" s="79"/>
      <c r="K225" s="79"/>
      <c r="L225" s="79"/>
      <c r="M225" s="79"/>
      <c r="N225" s="79"/>
      <c r="O225" s="79"/>
      <c r="P225" s="79"/>
      <c r="Q225" s="79"/>
      <c r="R225" s="79"/>
      <c r="S225" s="79"/>
      <c r="T225" s="79"/>
      <c r="U225" s="79"/>
      <c r="V225" s="79"/>
      <c r="W225" s="79"/>
      <c r="X225" s="79"/>
      <c r="Y225" s="79"/>
      <c r="Z225" s="79"/>
      <c r="AA225" s="79"/>
      <c r="AB225" s="79"/>
      <c r="AC225" s="79"/>
    </row>
    <row r="226" spans="10:29" x14ac:dyDescent="0.35">
      <c r="J226" s="79"/>
      <c r="K226" s="79"/>
      <c r="L226" s="79"/>
      <c r="M226" s="79"/>
      <c r="N226" s="79"/>
      <c r="O226" s="79"/>
      <c r="P226" s="79"/>
      <c r="Q226" s="79"/>
      <c r="R226" s="79"/>
      <c r="S226" s="79"/>
      <c r="T226" s="79"/>
      <c r="U226" s="79"/>
      <c r="V226" s="79"/>
      <c r="W226" s="79"/>
      <c r="X226" s="79"/>
      <c r="Y226" s="79"/>
      <c r="Z226" s="79"/>
      <c r="AA226" s="79"/>
      <c r="AB226" s="79"/>
      <c r="AC226" s="79"/>
    </row>
    <row r="227" spans="10:29" x14ac:dyDescent="0.35">
      <c r="J227" s="79"/>
      <c r="K227" s="79"/>
      <c r="L227" s="79"/>
      <c r="M227" s="79"/>
      <c r="N227" s="79"/>
      <c r="O227" s="79"/>
      <c r="P227" s="79"/>
      <c r="Q227" s="79"/>
      <c r="R227" s="79"/>
      <c r="S227" s="79"/>
      <c r="T227" s="79"/>
      <c r="U227" s="79"/>
      <c r="V227" s="79"/>
      <c r="W227" s="79"/>
      <c r="X227" s="79"/>
      <c r="Y227" s="79"/>
      <c r="Z227" s="79"/>
      <c r="AA227" s="79"/>
      <c r="AB227" s="79"/>
      <c r="AC227" s="79"/>
    </row>
    <row r="228" spans="10:29" x14ac:dyDescent="0.35">
      <c r="J228" s="79"/>
      <c r="K228" s="79"/>
      <c r="L228" s="79"/>
      <c r="M228" s="79"/>
      <c r="N228" s="79"/>
      <c r="O228" s="79"/>
      <c r="P228" s="79"/>
      <c r="Q228" s="79"/>
      <c r="R228" s="79"/>
      <c r="S228" s="79"/>
      <c r="T228" s="79"/>
      <c r="U228" s="79"/>
      <c r="V228" s="79"/>
      <c r="W228" s="79"/>
      <c r="X228" s="79"/>
      <c r="Y228" s="79"/>
      <c r="Z228" s="79"/>
      <c r="AA228" s="79"/>
      <c r="AB228" s="79"/>
      <c r="AC228" s="79"/>
    </row>
    <row r="229" spans="10:29" x14ac:dyDescent="0.35">
      <c r="J229" s="79"/>
      <c r="K229" s="79"/>
      <c r="L229" s="79"/>
      <c r="M229" s="79"/>
      <c r="N229" s="79"/>
      <c r="O229" s="79"/>
      <c r="P229" s="79"/>
      <c r="Q229" s="79"/>
      <c r="R229" s="79"/>
      <c r="S229" s="79"/>
      <c r="T229" s="79"/>
      <c r="U229" s="79"/>
      <c r="V229" s="79"/>
      <c r="W229" s="79"/>
      <c r="X229" s="79"/>
      <c r="Y229" s="79"/>
      <c r="Z229" s="79"/>
      <c r="AA229" s="79"/>
      <c r="AB229" s="79"/>
      <c r="AC229" s="79"/>
    </row>
    <row r="230" spans="10:29" x14ac:dyDescent="0.35">
      <c r="J230" s="79"/>
      <c r="K230" s="79"/>
      <c r="L230" s="79"/>
      <c r="M230" s="79"/>
      <c r="N230" s="79"/>
      <c r="O230" s="79"/>
      <c r="P230" s="79"/>
      <c r="Q230" s="79"/>
      <c r="R230" s="79"/>
      <c r="S230" s="79"/>
      <c r="T230" s="79"/>
      <c r="U230" s="79"/>
      <c r="V230" s="79"/>
      <c r="W230" s="79"/>
      <c r="X230" s="79"/>
      <c r="Y230" s="79"/>
      <c r="Z230" s="79"/>
      <c r="AA230" s="79"/>
      <c r="AB230" s="79"/>
      <c r="AC230" s="79"/>
    </row>
    <row r="231" spans="10:29" x14ac:dyDescent="0.35">
      <c r="J231" s="79"/>
      <c r="K231" s="79"/>
      <c r="L231" s="79"/>
      <c r="M231" s="79"/>
      <c r="N231" s="79"/>
      <c r="O231" s="79"/>
      <c r="P231" s="79"/>
      <c r="Q231" s="79"/>
      <c r="R231" s="79"/>
      <c r="S231" s="79"/>
      <c r="T231" s="79"/>
      <c r="U231" s="79"/>
      <c r="V231" s="79"/>
      <c r="W231" s="79"/>
      <c r="X231" s="79"/>
      <c r="Y231" s="79"/>
      <c r="Z231" s="79"/>
      <c r="AA231" s="79"/>
      <c r="AB231" s="79"/>
      <c r="AC231" s="79"/>
    </row>
    <row r="232" spans="10:29" x14ac:dyDescent="0.35">
      <c r="J232" s="79"/>
      <c r="K232" s="79"/>
      <c r="L232" s="79"/>
      <c r="M232" s="79"/>
      <c r="N232" s="79"/>
      <c r="O232" s="79"/>
      <c r="P232" s="79"/>
      <c r="Q232" s="79"/>
      <c r="R232" s="79"/>
      <c r="S232" s="79"/>
      <c r="T232" s="79"/>
      <c r="U232" s="79"/>
      <c r="V232" s="79"/>
      <c r="W232" s="79"/>
      <c r="X232" s="79"/>
      <c r="Y232" s="79"/>
      <c r="Z232" s="79"/>
      <c r="AA232" s="79"/>
      <c r="AB232" s="79"/>
      <c r="AC232" s="79"/>
    </row>
    <row r="233" spans="10:29" x14ac:dyDescent="0.35">
      <c r="J233" s="79"/>
      <c r="K233" s="79"/>
      <c r="L233" s="79"/>
      <c r="M233" s="79"/>
      <c r="N233" s="79"/>
      <c r="O233" s="79"/>
      <c r="P233" s="79"/>
      <c r="Q233" s="79"/>
      <c r="R233" s="79"/>
      <c r="S233" s="79"/>
      <c r="T233" s="79"/>
      <c r="U233" s="79"/>
      <c r="V233" s="79"/>
      <c r="W233" s="79"/>
      <c r="X233" s="79"/>
      <c r="Y233" s="79"/>
      <c r="Z233" s="79"/>
      <c r="AA233" s="79"/>
      <c r="AB233" s="79"/>
      <c r="AC233" s="79"/>
    </row>
    <row r="234" spans="10:29" x14ac:dyDescent="0.35">
      <c r="J234" s="79"/>
      <c r="K234" s="79"/>
      <c r="L234" s="79"/>
      <c r="M234" s="79"/>
      <c r="N234" s="79"/>
      <c r="O234" s="79"/>
      <c r="P234" s="79"/>
      <c r="Q234" s="79"/>
      <c r="R234" s="79"/>
      <c r="S234" s="79"/>
      <c r="T234" s="79"/>
      <c r="U234" s="79"/>
      <c r="V234" s="79"/>
      <c r="W234" s="79"/>
      <c r="X234" s="79"/>
      <c r="Y234" s="79"/>
      <c r="Z234" s="79"/>
      <c r="AA234" s="79"/>
      <c r="AB234" s="79"/>
      <c r="AC234" s="79"/>
    </row>
    <row r="235" spans="10:29" x14ac:dyDescent="0.35">
      <c r="J235" s="79"/>
      <c r="K235" s="79"/>
      <c r="L235" s="79"/>
      <c r="M235" s="79"/>
      <c r="N235" s="79"/>
      <c r="O235" s="79"/>
      <c r="P235" s="79"/>
      <c r="Q235" s="79"/>
      <c r="R235" s="79"/>
      <c r="S235" s="79"/>
      <c r="T235" s="79"/>
      <c r="U235" s="79"/>
      <c r="V235" s="79"/>
      <c r="W235" s="79"/>
      <c r="X235" s="79"/>
      <c r="Y235" s="79"/>
      <c r="Z235" s="79"/>
      <c r="AA235" s="79"/>
      <c r="AB235" s="79"/>
      <c r="AC235" s="79"/>
    </row>
    <row r="236" spans="10:29" x14ac:dyDescent="0.35">
      <c r="J236" s="79"/>
      <c r="K236" s="79"/>
      <c r="L236" s="79"/>
      <c r="M236" s="79"/>
      <c r="N236" s="79"/>
      <c r="O236" s="79"/>
      <c r="P236" s="79"/>
      <c r="Q236" s="79"/>
      <c r="R236" s="79"/>
      <c r="S236" s="79"/>
      <c r="T236" s="79"/>
      <c r="U236" s="79"/>
      <c r="V236" s="79"/>
      <c r="W236" s="79"/>
      <c r="X236" s="79"/>
      <c r="Y236" s="79"/>
      <c r="Z236" s="79"/>
      <c r="AA236" s="79"/>
      <c r="AB236" s="79"/>
      <c r="AC236" s="79"/>
    </row>
    <row r="237" spans="10:29" x14ac:dyDescent="0.35">
      <c r="J237" s="79"/>
      <c r="K237" s="79"/>
      <c r="L237" s="79"/>
      <c r="M237" s="79"/>
      <c r="N237" s="79"/>
      <c r="O237" s="79"/>
      <c r="P237" s="79"/>
      <c r="Q237" s="79"/>
      <c r="R237" s="79"/>
      <c r="S237" s="79"/>
      <c r="T237" s="79"/>
      <c r="U237" s="79"/>
      <c r="V237" s="79"/>
      <c r="W237" s="79"/>
      <c r="X237" s="79"/>
      <c r="Y237" s="79"/>
      <c r="Z237" s="79"/>
      <c r="AA237" s="79"/>
      <c r="AB237" s="79"/>
      <c r="AC237" s="79"/>
    </row>
    <row r="238" spans="10:29" x14ac:dyDescent="0.35">
      <c r="J238" s="79"/>
      <c r="K238" s="79"/>
      <c r="L238" s="79"/>
      <c r="M238" s="79"/>
      <c r="N238" s="79"/>
      <c r="O238" s="79"/>
      <c r="P238" s="79"/>
      <c r="Q238" s="79"/>
      <c r="R238" s="79"/>
      <c r="S238" s="79"/>
      <c r="T238" s="79"/>
      <c r="U238" s="79"/>
      <c r="V238" s="79"/>
      <c r="W238" s="79"/>
      <c r="X238" s="79"/>
      <c r="Y238" s="79"/>
      <c r="Z238" s="79"/>
      <c r="AA238" s="79"/>
      <c r="AB238" s="79"/>
      <c r="AC238" s="79"/>
    </row>
    <row r="239" spans="10:29" x14ac:dyDescent="0.35">
      <c r="J239" s="79"/>
      <c r="K239" s="79"/>
      <c r="L239" s="79"/>
      <c r="M239" s="79"/>
      <c r="N239" s="79"/>
      <c r="O239" s="79"/>
      <c r="P239" s="79"/>
      <c r="Q239" s="79"/>
      <c r="R239" s="79"/>
      <c r="S239" s="79"/>
      <c r="T239" s="79"/>
      <c r="U239" s="79"/>
      <c r="V239" s="79"/>
      <c r="W239" s="79"/>
      <c r="X239" s="79"/>
      <c r="Y239" s="79"/>
      <c r="Z239" s="79"/>
      <c r="AA239" s="79"/>
      <c r="AB239" s="79"/>
      <c r="AC239" s="79"/>
    </row>
    <row r="240" spans="10:29" x14ac:dyDescent="0.35">
      <c r="J240" s="79"/>
      <c r="K240" s="79"/>
      <c r="L240" s="79"/>
      <c r="M240" s="79"/>
      <c r="N240" s="79"/>
      <c r="O240" s="79"/>
      <c r="P240" s="79"/>
      <c r="Q240" s="79"/>
      <c r="R240" s="79"/>
      <c r="S240" s="79"/>
      <c r="T240" s="79"/>
      <c r="U240" s="79"/>
      <c r="V240" s="79"/>
      <c r="W240" s="79"/>
      <c r="X240" s="79"/>
      <c r="Y240" s="79"/>
      <c r="Z240" s="79"/>
      <c r="AA240" s="79"/>
      <c r="AB240" s="79"/>
      <c r="AC240" s="79"/>
    </row>
    <row r="241" spans="10:29" x14ac:dyDescent="0.35">
      <c r="J241" s="79"/>
      <c r="K241" s="79"/>
      <c r="L241" s="79"/>
      <c r="M241" s="79"/>
      <c r="N241" s="79"/>
      <c r="O241" s="79"/>
      <c r="P241" s="79"/>
      <c r="Q241" s="79"/>
      <c r="R241" s="79"/>
      <c r="S241" s="79"/>
      <c r="T241" s="79"/>
      <c r="U241" s="79"/>
      <c r="V241" s="79"/>
      <c r="W241" s="79"/>
      <c r="X241" s="79"/>
      <c r="Y241" s="79"/>
      <c r="Z241" s="79"/>
      <c r="AA241" s="79"/>
      <c r="AB241" s="79"/>
      <c r="AC241" s="79"/>
    </row>
    <row r="242" spans="10:29" x14ac:dyDescent="0.35">
      <c r="J242" s="79"/>
      <c r="K242" s="79"/>
      <c r="L242" s="79"/>
      <c r="M242" s="79"/>
      <c r="N242" s="79"/>
      <c r="O242" s="79"/>
      <c r="P242" s="79"/>
      <c r="Q242" s="79"/>
      <c r="R242" s="79"/>
      <c r="S242" s="79"/>
      <c r="T242" s="79"/>
      <c r="U242" s="79"/>
      <c r="V242" s="79"/>
      <c r="W242" s="79"/>
      <c r="X242" s="79"/>
      <c r="Y242" s="79"/>
      <c r="Z242" s="79"/>
      <c r="AA242" s="79"/>
      <c r="AB242" s="79"/>
      <c r="AC242" s="79"/>
    </row>
    <row r="243" spans="10:29" x14ac:dyDescent="0.35">
      <c r="J243" s="79"/>
      <c r="K243" s="79"/>
      <c r="L243" s="79"/>
      <c r="M243" s="79"/>
      <c r="N243" s="79"/>
      <c r="O243" s="79"/>
      <c r="P243" s="79"/>
      <c r="Q243" s="79"/>
      <c r="R243" s="79"/>
      <c r="S243" s="79"/>
      <c r="T243" s="79"/>
      <c r="U243" s="79"/>
      <c r="V243" s="79"/>
      <c r="W243" s="79"/>
      <c r="X243" s="79"/>
      <c r="Y243" s="79"/>
      <c r="Z243" s="79"/>
      <c r="AA243" s="79"/>
      <c r="AB243" s="79"/>
      <c r="AC243" s="79"/>
    </row>
    <row r="244" spans="10:29" x14ac:dyDescent="0.35">
      <c r="J244" s="79"/>
      <c r="K244" s="79"/>
      <c r="L244" s="79"/>
      <c r="M244" s="79"/>
      <c r="N244" s="79"/>
      <c r="O244" s="79"/>
      <c r="P244" s="79"/>
      <c r="Q244" s="79"/>
      <c r="R244" s="79"/>
      <c r="S244" s="79"/>
      <c r="T244" s="79"/>
      <c r="U244" s="79"/>
      <c r="V244" s="79"/>
      <c r="W244" s="79"/>
      <c r="X244" s="79"/>
      <c r="Y244" s="79"/>
      <c r="Z244" s="79"/>
      <c r="AA244" s="79"/>
      <c r="AB244" s="79"/>
      <c r="AC244" s="79"/>
    </row>
    <row r="245" spans="10:29" x14ac:dyDescent="0.35">
      <c r="J245" s="79"/>
      <c r="K245" s="79"/>
      <c r="L245" s="79"/>
      <c r="M245" s="79"/>
      <c r="N245" s="79"/>
      <c r="O245" s="79"/>
      <c r="P245" s="79"/>
      <c r="Q245" s="79"/>
      <c r="R245" s="79"/>
      <c r="S245" s="79"/>
      <c r="T245" s="79"/>
      <c r="U245" s="79"/>
      <c r="V245" s="79"/>
      <c r="W245" s="79"/>
      <c r="X245" s="79"/>
      <c r="Y245" s="79"/>
      <c r="Z245" s="79"/>
      <c r="AA245" s="79"/>
      <c r="AB245" s="79"/>
      <c r="AC245" s="79"/>
    </row>
    <row r="246" spans="10:29" x14ac:dyDescent="0.35">
      <c r="J246" s="79"/>
      <c r="K246" s="79"/>
      <c r="L246" s="79"/>
      <c r="M246" s="79"/>
      <c r="N246" s="79"/>
      <c r="O246" s="79"/>
      <c r="P246" s="79"/>
      <c r="Q246" s="79"/>
      <c r="R246" s="79"/>
      <c r="S246" s="79"/>
      <c r="T246" s="79"/>
      <c r="U246" s="79"/>
      <c r="V246" s="79"/>
      <c r="W246" s="79"/>
      <c r="X246" s="79"/>
      <c r="Y246" s="79"/>
      <c r="Z246" s="79"/>
      <c r="AA246" s="79"/>
      <c r="AB246" s="79"/>
      <c r="AC246" s="79"/>
    </row>
    <row r="247" spans="10:29" x14ac:dyDescent="0.35">
      <c r="J247" s="79"/>
      <c r="K247" s="79"/>
      <c r="L247" s="79"/>
      <c r="M247" s="79"/>
      <c r="N247" s="79"/>
      <c r="O247" s="79"/>
      <c r="P247" s="79"/>
      <c r="Q247" s="79"/>
      <c r="R247" s="79"/>
      <c r="S247" s="79"/>
      <c r="T247" s="79"/>
      <c r="U247" s="79"/>
      <c r="V247" s="79"/>
      <c r="W247" s="79"/>
      <c r="X247" s="79"/>
      <c r="Y247" s="79"/>
      <c r="Z247" s="79"/>
      <c r="AA247" s="79"/>
      <c r="AB247" s="79"/>
      <c r="AC247" s="79"/>
    </row>
    <row r="248" spans="10:29" x14ac:dyDescent="0.35">
      <c r="J248" s="79"/>
      <c r="K248" s="79"/>
      <c r="L248" s="79"/>
      <c r="M248" s="79"/>
      <c r="N248" s="79"/>
      <c r="O248" s="79"/>
      <c r="P248" s="79"/>
      <c r="Q248" s="79"/>
      <c r="R248" s="79"/>
      <c r="S248" s="79"/>
      <c r="T248" s="79"/>
      <c r="U248" s="79"/>
      <c r="V248" s="79"/>
      <c r="W248" s="79"/>
      <c r="X248" s="79"/>
      <c r="Y248" s="79"/>
      <c r="Z248" s="79"/>
      <c r="AA248" s="79"/>
      <c r="AB248" s="79"/>
      <c r="AC248" s="79"/>
    </row>
    <row r="249" spans="10:29" x14ac:dyDescent="0.35">
      <c r="J249" s="79"/>
      <c r="K249" s="79"/>
      <c r="L249" s="79"/>
      <c r="M249" s="79"/>
      <c r="N249" s="79"/>
      <c r="O249" s="79"/>
      <c r="P249" s="79"/>
      <c r="Q249" s="79"/>
      <c r="R249" s="79"/>
      <c r="S249" s="79"/>
      <c r="T249" s="79"/>
      <c r="U249" s="79"/>
      <c r="V249" s="79"/>
      <c r="W249" s="79"/>
      <c r="X249" s="79"/>
      <c r="Y249" s="79"/>
      <c r="Z249" s="79"/>
      <c r="AA249" s="79"/>
      <c r="AB249" s="79"/>
      <c r="AC249" s="79"/>
    </row>
    <row r="250" spans="10:29" x14ac:dyDescent="0.35">
      <c r="J250" s="79"/>
      <c r="K250" s="79"/>
      <c r="L250" s="79"/>
      <c r="M250" s="79"/>
      <c r="N250" s="79"/>
      <c r="O250" s="79"/>
      <c r="P250" s="79"/>
      <c r="Q250" s="79"/>
      <c r="R250" s="79"/>
      <c r="S250" s="79"/>
      <c r="T250" s="79"/>
      <c r="U250" s="79"/>
      <c r="V250" s="79"/>
      <c r="W250" s="79"/>
      <c r="X250" s="79"/>
      <c r="Y250" s="79"/>
      <c r="Z250" s="79"/>
      <c r="AA250" s="79"/>
      <c r="AB250" s="79"/>
      <c r="AC250" s="79"/>
    </row>
    <row r="251" spans="10:29" x14ac:dyDescent="0.35">
      <c r="J251" s="79"/>
      <c r="K251" s="79"/>
      <c r="L251" s="79"/>
      <c r="M251" s="79"/>
      <c r="N251" s="79"/>
      <c r="O251" s="79"/>
      <c r="P251" s="79"/>
      <c r="Q251" s="79"/>
      <c r="R251" s="79"/>
      <c r="S251" s="79"/>
      <c r="T251" s="79"/>
      <c r="U251" s="79"/>
      <c r="V251" s="79"/>
      <c r="W251" s="79"/>
      <c r="X251" s="79"/>
      <c r="Y251" s="79"/>
      <c r="Z251" s="79"/>
      <c r="AA251" s="79"/>
      <c r="AB251" s="79"/>
      <c r="AC251" s="79"/>
    </row>
    <row r="252" spans="10:29" x14ac:dyDescent="0.35">
      <c r="J252" s="79"/>
      <c r="K252" s="79"/>
      <c r="L252" s="79"/>
      <c r="M252" s="79"/>
      <c r="N252" s="79"/>
      <c r="O252" s="79"/>
      <c r="P252" s="79"/>
      <c r="Q252" s="79"/>
      <c r="R252" s="79"/>
      <c r="S252" s="79"/>
      <c r="T252" s="79"/>
      <c r="U252" s="79"/>
      <c r="V252" s="79"/>
      <c r="W252" s="79"/>
      <c r="X252" s="79"/>
      <c r="Y252" s="79"/>
      <c r="Z252" s="79"/>
      <c r="AA252" s="79"/>
      <c r="AB252" s="79"/>
      <c r="AC252" s="79"/>
    </row>
    <row r="253" spans="10:29" x14ac:dyDescent="0.35">
      <c r="J253" s="79"/>
      <c r="K253" s="79"/>
      <c r="L253" s="79"/>
      <c r="M253" s="79"/>
      <c r="N253" s="79"/>
      <c r="O253" s="79"/>
      <c r="P253" s="79"/>
      <c r="Q253" s="79"/>
      <c r="R253" s="79"/>
      <c r="S253" s="79"/>
      <c r="T253" s="79"/>
      <c r="U253" s="79"/>
      <c r="V253" s="79"/>
      <c r="W253" s="79"/>
      <c r="X253" s="79"/>
      <c r="Y253" s="79"/>
      <c r="Z253" s="79"/>
      <c r="AA253" s="79"/>
      <c r="AB253" s="79"/>
      <c r="AC253" s="79"/>
    </row>
    <row r="254" spans="10:29" x14ac:dyDescent="0.35">
      <c r="J254" s="79"/>
      <c r="K254" s="79"/>
      <c r="L254" s="79"/>
      <c r="M254" s="79"/>
      <c r="N254" s="79"/>
      <c r="O254" s="79"/>
      <c r="P254" s="79"/>
      <c r="Q254" s="79"/>
      <c r="R254" s="79"/>
      <c r="S254" s="79"/>
      <c r="T254" s="79"/>
      <c r="U254" s="79"/>
      <c r="V254" s="79"/>
      <c r="W254" s="79"/>
      <c r="X254" s="79"/>
      <c r="Y254" s="79"/>
      <c r="Z254" s="79"/>
      <c r="AA254" s="79"/>
      <c r="AB254" s="79"/>
      <c r="AC254" s="79"/>
    </row>
    <row r="255" spans="10:29" x14ac:dyDescent="0.35">
      <c r="J255" s="79"/>
      <c r="K255" s="79"/>
      <c r="L255" s="79"/>
      <c r="M255" s="79"/>
      <c r="N255" s="79"/>
      <c r="O255" s="79"/>
      <c r="P255" s="79"/>
      <c r="Q255" s="79"/>
      <c r="R255" s="79"/>
      <c r="S255" s="79"/>
      <c r="T255" s="79"/>
      <c r="U255" s="79"/>
      <c r="V255" s="79"/>
      <c r="W255" s="79"/>
      <c r="X255" s="79"/>
      <c r="Y255" s="79"/>
      <c r="Z255" s="79"/>
      <c r="AA255" s="79"/>
      <c r="AB255" s="79"/>
      <c r="AC255" s="79"/>
    </row>
    <row r="256" spans="10:29" x14ac:dyDescent="0.35">
      <c r="J256" s="79"/>
      <c r="K256" s="79"/>
      <c r="L256" s="79"/>
      <c r="M256" s="79"/>
      <c r="N256" s="79"/>
      <c r="O256" s="79"/>
      <c r="P256" s="79"/>
      <c r="Q256" s="79"/>
      <c r="R256" s="79"/>
      <c r="S256" s="79"/>
      <c r="T256" s="79"/>
      <c r="U256" s="79"/>
      <c r="V256" s="79"/>
      <c r="W256" s="79"/>
      <c r="X256" s="79"/>
      <c r="Y256" s="79"/>
      <c r="Z256" s="79"/>
      <c r="AA256" s="79"/>
      <c r="AB256" s="79"/>
      <c r="AC256" s="79"/>
    </row>
    <row r="257" spans="10:29" x14ac:dyDescent="0.35">
      <c r="J257" s="79"/>
      <c r="K257" s="79"/>
      <c r="L257" s="79"/>
      <c r="M257" s="79"/>
      <c r="N257" s="79"/>
      <c r="O257" s="79"/>
      <c r="P257" s="79"/>
      <c r="Q257" s="79"/>
      <c r="R257" s="79"/>
      <c r="S257" s="79"/>
      <c r="T257" s="79"/>
      <c r="U257" s="79"/>
      <c r="V257" s="79"/>
      <c r="W257" s="79"/>
      <c r="X257" s="79"/>
      <c r="Y257" s="79"/>
      <c r="Z257" s="79"/>
      <c r="AA257" s="79"/>
      <c r="AB257" s="79"/>
      <c r="AC257" s="79"/>
    </row>
    <row r="258" spans="10:29" x14ac:dyDescent="0.35">
      <c r="J258" s="79"/>
      <c r="K258" s="79"/>
      <c r="L258" s="79"/>
      <c r="M258" s="79"/>
      <c r="N258" s="79"/>
      <c r="O258" s="79"/>
      <c r="P258" s="79"/>
      <c r="Q258" s="79"/>
      <c r="R258" s="79"/>
      <c r="S258" s="79"/>
      <c r="T258" s="79"/>
      <c r="U258" s="79"/>
      <c r="V258" s="79"/>
      <c r="W258" s="79"/>
      <c r="X258" s="79"/>
      <c r="Y258" s="79"/>
      <c r="Z258" s="79"/>
      <c r="AA258" s="79"/>
      <c r="AB258" s="79"/>
      <c r="AC258" s="79"/>
    </row>
    <row r="259" spans="10:29" x14ac:dyDescent="0.35">
      <c r="J259" s="79"/>
      <c r="K259" s="79"/>
      <c r="L259" s="79"/>
      <c r="M259" s="79"/>
      <c r="N259" s="79"/>
      <c r="O259" s="79"/>
      <c r="P259" s="79"/>
      <c r="Q259" s="79"/>
      <c r="R259" s="79"/>
      <c r="S259" s="79"/>
      <c r="T259" s="79"/>
      <c r="U259" s="79"/>
      <c r="V259" s="79"/>
      <c r="W259" s="79"/>
      <c r="X259" s="79"/>
      <c r="Y259" s="79"/>
      <c r="Z259" s="79"/>
      <c r="AA259" s="79"/>
      <c r="AB259" s="79"/>
      <c r="AC259" s="79"/>
    </row>
    <row r="260" spans="10:29" x14ac:dyDescent="0.35">
      <c r="J260" s="79"/>
      <c r="K260" s="79"/>
      <c r="L260" s="79"/>
      <c r="M260" s="79"/>
      <c r="N260" s="79"/>
      <c r="O260" s="79"/>
      <c r="P260" s="79"/>
      <c r="Q260" s="79"/>
      <c r="R260" s="79"/>
      <c r="S260" s="79"/>
      <c r="T260" s="79"/>
      <c r="U260" s="79"/>
      <c r="V260" s="79"/>
      <c r="W260" s="79"/>
      <c r="X260" s="79"/>
      <c r="Y260" s="79"/>
      <c r="Z260" s="79"/>
      <c r="AA260" s="79"/>
      <c r="AB260" s="79"/>
      <c r="AC260" s="79"/>
    </row>
    <row r="261" spans="10:29" x14ac:dyDescent="0.35">
      <c r="J261" s="79"/>
      <c r="K261" s="79"/>
      <c r="L261" s="79"/>
      <c r="M261" s="79"/>
      <c r="N261" s="79"/>
      <c r="O261" s="79"/>
      <c r="P261" s="79"/>
      <c r="Q261" s="79"/>
      <c r="R261" s="79"/>
      <c r="S261" s="79"/>
      <c r="T261" s="79"/>
      <c r="U261" s="79"/>
      <c r="V261" s="79"/>
      <c r="W261" s="79"/>
      <c r="X261" s="79"/>
      <c r="Y261" s="79"/>
      <c r="Z261" s="79"/>
      <c r="AA261" s="79"/>
      <c r="AB261" s="79"/>
      <c r="AC261" s="79"/>
    </row>
    <row r="262" spans="10:29" x14ac:dyDescent="0.35">
      <c r="J262" s="79"/>
      <c r="K262" s="79"/>
      <c r="L262" s="79"/>
      <c r="M262" s="79"/>
      <c r="N262" s="79"/>
      <c r="O262" s="79"/>
      <c r="P262" s="79"/>
      <c r="Q262" s="79"/>
      <c r="R262" s="79"/>
      <c r="S262" s="79"/>
      <c r="T262" s="79"/>
      <c r="U262" s="79"/>
      <c r="V262" s="79"/>
      <c r="W262" s="79"/>
      <c r="X262" s="79"/>
      <c r="Y262" s="79"/>
      <c r="Z262" s="79"/>
      <c r="AA262" s="79"/>
      <c r="AB262" s="79"/>
      <c r="AC262" s="79"/>
    </row>
    <row r="263" spans="10:29" x14ac:dyDescent="0.35">
      <c r="J263" s="79"/>
      <c r="K263" s="79"/>
      <c r="L263" s="79"/>
      <c r="M263" s="79"/>
      <c r="N263" s="79"/>
      <c r="O263" s="79"/>
      <c r="P263" s="79"/>
      <c r="Q263" s="79"/>
      <c r="R263" s="79"/>
      <c r="S263" s="79"/>
      <c r="T263" s="79"/>
      <c r="U263" s="79"/>
      <c r="V263" s="79"/>
      <c r="W263" s="79"/>
      <c r="X263" s="79"/>
      <c r="Y263" s="79"/>
      <c r="Z263" s="79"/>
      <c r="AA263" s="79"/>
      <c r="AB263" s="79"/>
      <c r="AC263" s="79"/>
    </row>
    <row r="264" spans="10:29" x14ac:dyDescent="0.35">
      <c r="J264" s="79"/>
      <c r="K264" s="79"/>
      <c r="L264" s="79"/>
      <c r="M264" s="79"/>
      <c r="N264" s="79"/>
      <c r="O264" s="79"/>
      <c r="P264" s="79"/>
      <c r="Q264" s="79"/>
      <c r="R264" s="79"/>
      <c r="S264" s="79"/>
      <c r="T264" s="79"/>
      <c r="U264" s="79"/>
      <c r="V264" s="79"/>
      <c r="W264" s="79"/>
      <c r="X264" s="79"/>
      <c r="Y264" s="79"/>
      <c r="Z264" s="79"/>
      <c r="AA264" s="79"/>
      <c r="AB264" s="79"/>
      <c r="AC264" s="79"/>
    </row>
    <row r="265" spans="10:29" x14ac:dyDescent="0.35">
      <c r="J265" s="79"/>
      <c r="K265" s="79"/>
      <c r="L265" s="79"/>
      <c r="M265" s="79"/>
      <c r="N265" s="79"/>
      <c r="O265" s="79"/>
      <c r="P265" s="79"/>
      <c r="Q265" s="79"/>
      <c r="R265" s="79"/>
      <c r="S265" s="79"/>
      <c r="T265" s="79"/>
      <c r="U265" s="79"/>
      <c r="V265" s="79"/>
      <c r="W265" s="79"/>
      <c r="X265" s="79"/>
      <c r="Y265" s="79"/>
      <c r="Z265" s="79"/>
      <c r="AA265" s="79"/>
      <c r="AB265" s="79"/>
      <c r="AC265" s="79"/>
    </row>
    <row r="266" spans="10:29" x14ac:dyDescent="0.35">
      <c r="J266" s="79"/>
      <c r="K266" s="79"/>
      <c r="L266" s="79"/>
      <c r="M266" s="79"/>
      <c r="N266" s="79"/>
      <c r="O266" s="79"/>
      <c r="P266" s="79"/>
      <c r="Q266" s="79"/>
      <c r="R266" s="79"/>
      <c r="S266" s="79"/>
      <c r="T266" s="79"/>
      <c r="U266" s="79"/>
      <c r="V266" s="79"/>
      <c r="W266" s="79"/>
      <c r="X266" s="79"/>
      <c r="Y266" s="79"/>
      <c r="Z266" s="79"/>
      <c r="AA266" s="79"/>
      <c r="AB266" s="79"/>
      <c r="AC266" s="79"/>
    </row>
    <row r="267" spans="10:29" x14ac:dyDescent="0.35">
      <c r="J267" s="79"/>
      <c r="K267" s="79"/>
      <c r="L267" s="79"/>
      <c r="M267" s="79"/>
      <c r="N267" s="79"/>
      <c r="O267" s="79"/>
      <c r="P267" s="79"/>
      <c r="Q267" s="79"/>
      <c r="R267" s="79"/>
      <c r="S267" s="79"/>
      <c r="T267" s="79"/>
      <c r="U267" s="79"/>
      <c r="V267" s="79"/>
      <c r="W267" s="79"/>
      <c r="X267" s="79"/>
      <c r="Y267" s="79"/>
      <c r="Z267" s="79"/>
      <c r="AA267" s="79"/>
      <c r="AB267" s="79"/>
      <c r="AC267" s="79"/>
    </row>
    <row r="268" spans="10:29" x14ac:dyDescent="0.35">
      <c r="J268" s="79"/>
      <c r="K268" s="79"/>
      <c r="L268" s="79"/>
      <c r="M268" s="79"/>
      <c r="N268" s="79"/>
      <c r="O268" s="79"/>
      <c r="P268" s="79"/>
      <c r="Q268" s="79"/>
      <c r="R268" s="79"/>
      <c r="S268" s="79"/>
      <c r="T268" s="79"/>
      <c r="U268" s="79"/>
      <c r="V268" s="79"/>
      <c r="W268" s="79"/>
      <c r="X268" s="79"/>
      <c r="Y268" s="79"/>
      <c r="Z268" s="79"/>
      <c r="AA268" s="79"/>
      <c r="AB268" s="79"/>
      <c r="AC268" s="79"/>
    </row>
    <row r="269" spans="10:29" x14ac:dyDescent="0.35">
      <c r="J269" s="79"/>
      <c r="K269" s="79"/>
      <c r="L269" s="79"/>
      <c r="M269" s="79"/>
      <c r="N269" s="79"/>
      <c r="O269" s="79"/>
      <c r="P269" s="79"/>
      <c r="Q269" s="79"/>
      <c r="R269" s="79"/>
      <c r="S269" s="79"/>
      <c r="T269" s="79"/>
      <c r="U269" s="79"/>
      <c r="V269" s="79"/>
      <c r="W269" s="79"/>
      <c r="X269" s="79"/>
      <c r="Y269" s="79"/>
      <c r="Z269" s="79"/>
      <c r="AA269" s="79"/>
      <c r="AB269" s="79"/>
      <c r="AC269" s="79"/>
    </row>
    <row r="270" spans="10:29" x14ac:dyDescent="0.35">
      <c r="J270" s="79"/>
      <c r="K270" s="79"/>
      <c r="L270" s="79"/>
      <c r="M270" s="79"/>
      <c r="N270" s="79"/>
      <c r="O270" s="79"/>
      <c r="P270" s="79"/>
      <c r="Q270" s="79"/>
      <c r="R270" s="79"/>
      <c r="S270" s="79"/>
      <c r="T270" s="79"/>
      <c r="U270" s="79"/>
      <c r="V270" s="79"/>
      <c r="W270" s="79"/>
      <c r="X270" s="79"/>
      <c r="Y270" s="79"/>
      <c r="Z270" s="79"/>
      <c r="AA270" s="79"/>
      <c r="AB270" s="79"/>
      <c r="AC270" s="79"/>
    </row>
    <row r="271" spans="10:29" x14ac:dyDescent="0.35">
      <c r="J271" s="79"/>
      <c r="K271" s="79"/>
      <c r="L271" s="79"/>
      <c r="M271" s="79"/>
      <c r="N271" s="79"/>
      <c r="O271" s="79"/>
      <c r="P271" s="79"/>
      <c r="Q271" s="79"/>
      <c r="R271" s="79"/>
      <c r="S271" s="79"/>
      <c r="T271" s="79"/>
      <c r="U271" s="79"/>
      <c r="V271" s="79"/>
      <c r="W271" s="79"/>
      <c r="X271" s="79"/>
      <c r="Y271" s="79"/>
      <c r="Z271" s="79"/>
      <c r="AA271" s="79"/>
      <c r="AB271" s="79"/>
      <c r="AC271" s="79"/>
    </row>
    <row r="272" spans="10:29" x14ac:dyDescent="0.35">
      <c r="J272" s="79"/>
      <c r="K272" s="79"/>
      <c r="L272" s="79"/>
      <c r="M272" s="79"/>
      <c r="N272" s="79"/>
      <c r="O272" s="79"/>
      <c r="P272" s="79"/>
      <c r="Q272" s="79"/>
      <c r="R272" s="79"/>
      <c r="S272" s="79"/>
      <c r="T272" s="79"/>
      <c r="U272" s="79"/>
      <c r="V272" s="79"/>
      <c r="W272" s="79"/>
      <c r="X272" s="79"/>
      <c r="Y272" s="79"/>
      <c r="Z272" s="79"/>
      <c r="AA272" s="79"/>
      <c r="AB272" s="79"/>
      <c r="AC272" s="79"/>
    </row>
    <row r="273" spans="10:29" x14ac:dyDescent="0.35">
      <c r="J273" s="79"/>
      <c r="K273" s="79"/>
      <c r="L273" s="79"/>
      <c r="M273" s="79"/>
      <c r="N273" s="79"/>
      <c r="O273" s="79"/>
      <c r="P273" s="79"/>
      <c r="Q273" s="79"/>
      <c r="R273" s="79"/>
      <c r="S273" s="79"/>
      <c r="T273" s="79"/>
      <c r="U273" s="79"/>
      <c r="V273" s="79"/>
      <c r="W273" s="79"/>
      <c r="X273" s="79"/>
      <c r="Y273" s="79"/>
      <c r="Z273" s="79"/>
      <c r="AA273" s="79"/>
      <c r="AB273" s="79"/>
      <c r="AC273" s="79"/>
    </row>
    <row r="274" spans="10:29" x14ac:dyDescent="0.35">
      <c r="J274" s="79"/>
      <c r="K274" s="79"/>
      <c r="L274" s="79"/>
      <c r="M274" s="79"/>
      <c r="N274" s="79"/>
      <c r="O274" s="79"/>
      <c r="P274" s="79"/>
      <c r="Q274" s="79"/>
      <c r="R274" s="79"/>
      <c r="S274" s="79"/>
      <c r="T274" s="79"/>
      <c r="U274" s="79"/>
      <c r="V274" s="79"/>
      <c r="W274" s="79"/>
      <c r="X274" s="79"/>
      <c r="Y274" s="79"/>
      <c r="Z274" s="79"/>
      <c r="AA274" s="79"/>
      <c r="AB274" s="79"/>
      <c r="AC274" s="79"/>
    </row>
    <row r="275" spans="10:29" x14ac:dyDescent="0.35">
      <c r="J275" s="79"/>
      <c r="K275" s="79"/>
      <c r="L275" s="79"/>
      <c r="M275" s="79"/>
      <c r="N275" s="79"/>
      <c r="O275" s="79"/>
      <c r="P275" s="79"/>
      <c r="Q275" s="79"/>
      <c r="R275" s="79"/>
      <c r="S275" s="79"/>
      <c r="T275" s="79"/>
      <c r="U275" s="79"/>
      <c r="V275" s="79"/>
      <c r="W275" s="79"/>
      <c r="X275" s="79"/>
      <c r="Y275" s="79"/>
      <c r="Z275" s="79"/>
      <c r="AA275" s="79"/>
      <c r="AB275" s="79"/>
      <c r="AC275" s="79"/>
    </row>
    <row r="276" spans="10:29" x14ac:dyDescent="0.35">
      <c r="J276" s="79"/>
      <c r="K276" s="79"/>
      <c r="L276" s="79"/>
      <c r="M276" s="79"/>
      <c r="N276" s="79"/>
      <c r="O276" s="79"/>
      <c r="P276" s="79"/>
      <c r="Q276" s="79"/>
      <c r="R276" s="79"/>
      <c r="S276" s="79"/>
      <c r="T276" s="79"/>
      <c r="U276" s="79"/>
      <c r="V276" s="79"/>
      <c r="W276" s="79"/>
      <c r="X276" s="79"/>
      <c r="Y276" s="79"/>
      <c r="Z276" s="79"/>
      <c r="AA276" s="79"/>
      <c r="AB276" s="79"/>
      <c r="AC276" s="79"/>
    </row>
    <row r="277" spans="10:29" x14ac:dyDescent="0.35">
      <c r="J277" s="79"/>
      <c r="K277" s="79"/>
      <c r="L277" s="79"/>
      <c r="M277" s="79"/>
      <c r="N277" s="79"/>
      <c r="O277" s="79"/>
      <c r="P277" s="79"/>
      <c r="Q277" s="79"/>
      <c r="R277" s="79"/>
      <c r="S277" s="79"/>
      <c r="T277" s="79"/>
      <c r="U277" s="79"/>
      <c r="V277" s="79"/>
      <c r="W277" s="79"/>
      <c r="X277" s="79"/>
      <c r="Y277" s="79"/>
      <c r="Z277" s="79"/>
      <c r="AA277" s="79"/>
      <c r="AB277" s="79"/>
      <c r="AC277" s="79"/>
    </row>
    <row r="278" spans="10:29" x14ac:dyDescent="0.35">
      <c r="J278" s="79"/>
      <c r="K278" s="79"/>
      <c r="L278" s="79"/>
      <c r="M278" s="79"/>
      <c r="N278" s="79"/>
      <c r="O278" s="79"/>
      <c r="P278" s="79"/>
      <c r="Q278" s="79"/>
      <c r="R278" s="79"/>
      <c r="S278" s="79"/>
      <c r="T278" s="79"/>
      <c r="U278" s="79"/>
      <c r="V278" s="79"/>
      <c r="W278" s="79"/>
      <c r="X278" s="79"/>
      <c r="Y278" s="79"/>
      <c r="Z278" s="79"/>
      <c r="AA278" s="79"/>
      <c r="AB278" s="79"/>
      <c r="AC278" s="79"/>
    </row>
    <row r="279" spans="10:29" x14ac:dyDescent="0.35">
      <c r="J279" s="79"/>
      <c r="K279" s="79"/>
      <c r="L279" s="79"/>
      <c r="M279" s="79"/>
      <c r="N279" s="79"/>
      <c r="O279" s="79"/>
      <c r="P279" s="79"/>
      <c r="Q279" s="79"/>
      <c r="R279" s="79"/>
      <c r="S279" s="79"/>
      <c r="T279" s="79"/>
      <c r="U279" s="79"/>
      <c r="V279" s="79"/>
      <c r="W279" s="79"/>
      <c r="X279" s="79"/>
      <c r="Y279" s="79"/>
      <c r="Z279" s="79"/>
      <c r="AA279" s="79"/>
      <c r="AB279" s="79"/>
      <c r="AC279" s="79"/>
    </row>
    <row r="280" spans="10:29" x14ac:dyDescent="0.35">
      <c r="J280" s="79"/>
      <c r="K280" s="79"/>
      <c r="L280" s="79"/>
      <c r="M280" s="79"/>
      <c r="N280" s="79"/>
      <c r="O280" s="79"/>
      <c r="P280" s="79"/>
      <c r="Q280" s="79"/>
      <c r="R280" s="79"/>
      <c r="S280" s="79"/>
      <c r="T280" s="79"/>
      <c r="U280" s="79"/>
      <c r="V280" s="79"/>
      <c r="W280" s="79"/>
      <c r="X280" s="79"/>
      <c r="Y280" s="79"/>
      <c r="Z280" s="79"/>
      <c r="AA280" s="79"/>
      <c r="AB280" s="79"/>
      <c r="AC280" s="79"/>
    </row>
    <row r="281" spans="10:29" x14ac:dyDescent="0.35">
      <c r="J281" s="79"/>
      <c r="K281" s="79"/>
      <c r="L281" s="79"/>
      <c r="M281" s="79"/>
      <c r="N281" s="79"/>
      <c r="O281" s="79"/>
      <c r="P281" s="79"/>
      <c r="Q281" s="79"/>
      <c r="R281" s="79"/>
      <c r="S281" s="79"/>
      <c r="T281" s="79"/>
      <c r="U281" s="79"/>
      <c r="V281" s="79"/>
      <c r="W281" s="79"/>
      <c r="X281" s="79"/>
      <c r="Y281" s="79"/>
      <c r="Z281" s="79"/>
      <c r="AA281" s="79"/>
      <c r="AB281" s="79"/>
      <c r="AC281" s="79"/>
    </row>
    <row r="282" spans="10:29" x14ac:dyDescent="0.35">
      <c r="J282" s="79"/>
      <c r="K282" s="79"/>
      <c r="L282" s="79"/>
      <c r="M282" s="79"/>
      <c r="N282" s="79"/>
      <c r="O282" s="79"/>
      <c r="P282" s="79"/>
      <c r="Q282" s="79"/>
      <c r="R282" s="79"/>
      <c r="S282" s="79"/>
      <c r="T282" s="79"/>
      <c r="U282" s="79"/>
      <c r="V282" s="79"/>
      <c r="W282" s="79"/>
      <c r="X282" s="79"/>
      <c r="Y282" s="79"/>
      <c r="Z282" s="79"/>
      <c r="AA282" s="79"/>
      <c r="AB282" s="79"/>
      <c r="AC282" s="79"/>
    </row>
    <row r="283" spans="10:29" x14ac:dyDescent="0.35">
      <c r="J283" s="79"/>
      <c r="K283" s="79"/>
      <c r="L283" s="79"/>
      <c r="M283" s="79"/>
      <c r="N283" s="79"/>
      <c r="O283" s="79"/>
      <c r="P283" s="79"/>
      <c r="Q283" s="79"/>
      <c r="R283" s="79"/>
      <c r="S283" s="79"/>
      <c r="T283" s="79"/>
      <c r="U283" s="79"/>
      <c r="V283" s="79"/>
      <c r="W283" s="79"/>
      <c r="X283" s="79"/>
      <c r="Y283" s="79"/>
      <c r="Z283" s="79"/>
      <c r="AA283" s="79"/>
      <c r="AB283" s="79"/>
      <c r="AC283" s="79"/>
    </row>
    <row r="284" spans="10:29" x14ac:dyDescent="0.35">
      <c r="J284" s="79"/>
      <c r="K284" s="79"/>
      <c r="L284" s="79"/>
      <c r="M284" s="79"/>
      <c r="N284" s="79"/>
      <c r="O284" s="79"/>
      <c r="P284" s="79"/>
      <c r="Q284" s="79"/>
      <c r="R284" s="79"/>
      <c r="S284" s="79"/>
      <c r="T284" s="79"/>
      <c r="U284" s="79"/>
      <c r="V284" s="79"/>
      <c r="W284" s="79"/>
      <c r="X284" s="79"/>
      <c r="Y284" s="79"/>
      <c r="Z284" s="79"/>
      <c r="AA284" s="79"/>
      <c r="AB284" s="79"/>
      <c r="AC284" s="79"/>
    </row>
    <row r="285" spans="10:29" x14ac:dyDescent="0.35">
      <c r="J285" s="79"/>
      <c r="K285" s="79"/>
      <c r="L285" s="79"/>
      <c r="M285" s="79"/>
      <c r="N285" s="79"/>
      <c r="O285" s="79"/>
      <c r="P285" s="79"/>
      <c r="Q285" s="79"/>
      <c r="R285" s="79"/>
      <c r="S285" s="79"/>
      <c r="T285" s="79"/>
      <c r="U285" s="79"/>
      <c r="V285" s="79"/>
      <c r="W285" s="79"/>
      <c r="X285" s="79"/>
      <c r="Y285" s="79"/>
      <c r="Z285" s="79"/>
      <c r="AA285" s="79"/>
      <c r="AB285" s="79"/>
      <c r="AC285" s="79"/>
    </row>
    <row r="286" spans="10:29" x14ac:dyDescent="0.35">
      <c r="J286" s="79"/>
      <c r="K286" s="79"/>
      <c r="L286" s="79"/>
      <c r="M286" s="79"/>
      <c r="N286" s="79"/>
      <c r="O286" s="79"/>
      <c r="P286" s="79"/>
      <c r="Q286" s="79"/>
      <c r="R286" s="79"/>
      <c r="S286" s="79"/>
      <c r="T286" s="79"/>
      <c r="U286" s="79"/>
      <c r="V286" s="79"/>
      <c r="W286" s="79"/>
      <c r="X286" s="79"/>
      <c r="Y286" s="79"/>
      <c r="Z286" s="79"/>
      <c r="AA286" s="79"/>
      <c r="AB286" s="79"/>
      <c r="AC286" s="79"/>
    </row>
    <row r="287" spans="10:29" x14ac:dyDescent="0.35">
      <c r="J287" s="79"/>
      <c r="K287" s="79"/>
      <c r="L287" s="79"/>
      <c r="M287" s="79"/>
      <c r="N287" s="79"/>
      <c r="O287" s="79"/>
      <c r="P287" s="79"/>
      <c r="Q287" s="79"/>
      <c r="R287" s="79"/>
      <c r="S287" s="79"/>
      <c r="T287" s="79"/>
      <c r="U287" s="79"/>
      <c r="V287" s="79"/>
      <c r="W287" s="79"/>
      <c r="X287" s="79"/>
      <c r="Y287" s="79"/>
      <c r="Z287" s="79"/>
      <c r="AA287" s="79"/>
      <c r="AB287" s="79"/>
      <c r="AC287" s="79"/>
    </row>
    <row r="288" spans="10:29" x14ac:dyDescent="0.35">
      <c r="J288" s="79"/>
      <c r="K288" s="79"/>
      <c r="L288" s="79"/>
      <c r="M288" s="79"/>
      <c r="N288" s="79"/>
      <c r="O288" s="79"/>
      <c r="P288" s="79"/>
      <c r="Q288" s="79"/>
      <c r="R288" s="79"/>
      <c r="S288" s="79"/>
      <c r="T288" s="79"/>
      <c r="U288" s="79"/>
      <c r="V288" s="79"/>
      <c r="W288" s="79"/>
      <c r="X288" s="79"/>
      <c r="Y288" s="79"/>
      <c r="Z288" s="79"/>
      <c r="AA288" s="79"/>
      <c r="AB288" s="79"/>
      <c r="AC288" s="79"/>
    </row>
    <row r="289" spans="10:29" x14ac:dyDescent="0.35">
      <c r="J289" s="79"/>
      <c r="K289" s="79"/>
      <c r="L289" s="79"/>
      <c r="M289" s="79"/>
      <c r="N289" s="79"/>
      <c r="O289" s="79"/>
      <c r="P289" s="79"/>
      <c r="Q289" s="79"/>
      <c r="R289" s="79"/>
      <c r="S289" s="79"/>
      <c r="T289" s="79"/>
      <c r="U289" s="79"/>
      <c r="V289" s="79"/>
      <c r="W289" s="79"/>
      <c r="X289" s="79"/>
      <c r="Y289" s="79"/>
      <c r="Z289" s="79"/>
      <c r="AA289" s="79"/>
      <c r="AB289" s="79"/>
      <c r="AC289" s="79"/>
    </row>
    <row r="290" spans="10:29" x14ac:dyDescent="0.35">
      <c r="J290" s="79"/>
      <c r="K290" s="79"/>
      <c r="L290" s="79"/>
      <c r="M290" s="79"/>
      <c r="N290" s="79"/>
      <c r="O290" s="79"/>
      <c r="P290" s="79"/>
      <c r="Q290" s="79"/>
      <c r="R290" s="79"/>
      <c r="S290" s="79"/>
      <c r="T290" s="79"/>
      <c r="U290" s="79"/>
      <c r="V290" s="79"/>
      <c r="W290" s="79"/>
      <c r="X290" s="79"/>
      <c r="Y290" s="79"/>
      <c r="Z290" s="79"/>
      <c r="AA290" s="79"/>
      <c r="AB290" s="79"/>
      <c r="AC290" s="79"/>
    </row>
    <row r="291" spans="10:29" x14ac:dyDescent="0.35">
      <c r="J291" s="79"/>
      <c r="K291" s="79"/>
      <c r="L291" s="79"/>
      <c r="M291" s="79"/>
      <c r="N291" s="79"/>
      <c r="O291" s="79"/>
      <c r="P291" s="79"/>
      <c r="Q291" s="79"/>
      <c r="R291" s="79"/>
      <c r="S291" s="79"/>
      <c r="T291" s="79"/>
      <c r="U291" s="79"/>
      <c r="V291" s="79"/>
      <c r="W291" s="79"/>
      <c r="X291" s="79"/>
      <c r="Y291" s="79"/>
      <c r="Z291" s="79"/>
      <c r="AA291" s="79"/>
      <c r="AB291" s="79"/>
      <c r="AC291" s="79"/>
    </row>
    <row r="292" spans="10:29" x14ac:dyDescent="0.35">
      <c r="J292" s="79"/>
      <c r="K292" s="79"/>
      <c r="L292" s="79"/>
      <c r="M292" s="79"/>
      <c r="N292" s="79"/>
      <c r="O292" s="79"/>
      <c r="P292" s="79"/>
      <c r="Q292" s="79"/>
      <c r="R292" s="79"/>
      <c r="S292" s="79"/>
      <c r="T292" s="79"/>
      <c r="U292" s="79"/>
      <c r="V292" s="79"/>
      <c r="W292" s="79"/>
      <c r="X292" s="79"/>
      <c r="Y292" s="79"/>
      <c r="Z292" s="79"/>
      <c r="AA292" s="79"/>
      <c r="AB292" s="79"/>
      <c r="AC292" s="79"/>
    </row>
    <row r="293" spans="10:29" x14ac:dyDescent="0.35">
      <c r="J293" s="79"/>
      <c r="K293" s="79"/>
      <c r="L293" s="79"/>
      <c r="M293" s="79"/>
      <c r="N293" s="79"/>
      <c r="O293" s="79"/>
      <c r="P293" s="79"/>
      <c r="Q293" s="79"/>
      <c r="R293" s="79"/>
      <c r="S293" s="79"/>
      <c r="T293" s="79"/>
      <c r="U293" s="79"/>
      <c r="V293" s="79"/>
      <c r="W293" s="79"/>
      <c r="X293" s="79"/>
      <c r="Y293" s="79"/>
      <c r="Z293" s="79"/>
      <c r="AA293" s="79"/>
      <c r="AB293" s="79"/>
      <c r="AC293" s="79"/>
    </row>
    <row r="294" spans="10:29" x14ac:dyDescent="0.35">
      <c r="J294" s="79"/>
      <c r="K294" s="79"/>
      <c r="L294" s="79"/>
      <c r="M294" s="79"/>
      <c r="N294" s="79"/>
      <c r="O294" s="79"/>
      <c r="P294" s="79"/>
      <c r="Q294" s="79"/>
      <c r="R294" s="79"/>
      <c r="S294" s="79"/>
      <c r="T294" s="79"/>
      <c r="U294" s="79"/>
      <c r="V294" s="79"/>
      <c r="W294" s="79"/>
      <c r="X294" s="79"/>
      <c r="Y294" s="79"/>
      <c r="Z294" s="79"/>
      <c r="AA294" s="79"/>
      <c r="AB294" s="79"/>
      <c r="AC294" s="79"/>
    </row>
    <row r="295" spans="10:29" x14ac:dyDescent="0.35">
      <c r="J295" s="79"/>
      <c r="K295" s="79"/>
      <c r="L295" s="79"/>
      <c r="M295" s="79"/>
      <c r="N295" s="79"/>
      <c r="O295" s="79"/>
      <c r="P295" s="79"/>
      <c r="Q295" s="79"/>
      <c r="R295" s="79"/>
      <c r="S295" s="79"/>
      <c r="T295" s="79"/>
      <c r="U295" s="79"/>
      <c r="V295" s="79"/>
      <c r="W295" s="79"/>
      <c r="X295" s="79"/>
      <c r="Y295" s="79"/>
      <c r="Z295" s="79"/>
      <c r="AA295" s="79"/>
      <c r="AB295" s="79"/>
      <c r="AC295" s="79"/>
    </row>
    <row r="296" spans="10:29" x14ac:dyDescent="0.35">
      <c r="J296" s="79"/>
      <c r="K296" s="79"/>
      <c r="L296" s="79"/>
      <c r="M296" s="79"/>
      <c r="N296" s="79"/>
      <c r="O296" s="79"/>
      <c r="P296" s="79"/>
      <c r="Q296" s="79"/>
      <c r="R296" s="79"/>
      <c r="S296" s="79"/>
      <c r="T296" s="79"/>
      <c r="U296" s="79"/>
      <c r="V296" s="79"/>
      <c r="W296" s="79"/>
      <c r="X296" s="79"/>
      <c r="Y296" s="79"/>
      <c r="Z296" s="79"/>
      <c r="AA296" s="79"/>
      <c r="AB296" s="79"/>
      <c r="AC296" s="79"/>
    </row>
    <row r="297" spans="10:29" x14ac:dyDescent="0.35">
      <c r="J297" s="79"/>
      <c r="K297" s="79"/>
      <c r="L297" s="79"/>
      <c r="M297" s="79"/>
      <c r="N297" s="79"/>
      <c r="O297" s="79"/>
      <c r="P297" s="79"/>
      <c r="Q297" s="79"/>
      <c r="R297" s="79"/>
      <c r="S297" s="79"/>
      <c r="T297" s="79"/>
      <c r="U297" s="79"/>
      <c r="V297" s="79"/>
      <c r="W297" s="79"/>
      <c r="X297" s="79"/>
      <c r="Y297" s="79"/>
      <c r="Z297" s="79"/>
      <c r="AA297" s="79"/>
      <c r="AB297" s="79"/>
      <c r="AC297" s="79"/>
    </row>
    <row r="298" spans="10:29" x14ac:dyDescent="0.35">
      <c r="J298" s="79"/>
      <c r="K298" s="79"/>
      <c r="L298" s="79"/>
      <c r="M298" s="79"/>
      <c r="N298" s="79"/>
      <c r="O298" s="79"/>
      <c r="P298" s="79"/>
      <c r="Q298" s="79"/>
      <c r="R298" s="79"/>
      <c r="S298" s="79"/>
      <c r="T298" s="79"/>
      <c r="U298" s="79"/>
      <c r="V298" s="79"/>
      <c r="W298" s="79"/>
      <c r="X298" s="79"/>
      <c r="Y298" s="79"/>
      <c r="Z298" s="79"/>
      <c r="AA298" s="79"/>
      <c r="AB298" s="79"/>
      <c r="AC298" s="79"/>
    </row>
    <row r="299" spans="10:29" x14ac:dyDescent="0.35">
      <c r="J299" s="79"/>
      <c r="K299" s="79"/>
      <c r="L299" s="79"/>
      <c r="M299" s="79"/>
      <c r="N299" s="79"/>
      <c r="O299" s="79"/>
      <c r="P299" s="79"/>
      <c r="Q299" s="79"/>
      <c r="R299" s="79"/>
      <c r="S299" s="79"/>
      <c r="T299" s="79"/>
      <c r="U299" s="79"/>
      <c r="V299" s="79"/>
      <c r="W299" s="79"/>
      <c r="X299" s="79"/>
      <c r="Y299" s="79"/>
      <c r="Z299" s="79"/>
      <c r="AA299" s="79"/>
      <c r="AB299" s="79"/>
      <c r="AC299" s="79"/>
    </row>
    <row r="300" spans="10:29" x14ac:dyDescent="0.35">
      <c r="J300" s="79"/>
      <c r="K300" s="79"/>
      <c r="L300" s="79"/>
      <c r="M300" s="79"/>
      <c r="N300" s="79"/>
      <c r="O300" s="79"/>
      <c r="P300" s="79"/>
      <c r="Q300" s="79"/>
      <c r="R300" s="79"/>
      <c r="S300" s="79"/>
      <c r="T300" s="79"/>
      <c r="U300" s="79"/>
      <c r="V300" s="79"/>
      <c r="W300" s="79"/>
      <c r="X300" s="79"/>
      <c r="Y300" s="79"/>
      <c r="Z300" s="79"/>
      <c r="AA300" s="79"/>
      <c r="AB300" s="79"/>
      <c r="AC300" s="79"/>
    </row>
    <row r="301" spans="10:29" x14ac:dyDescent="0.35">
      <c r="J301" s="79"/>
      <c r="K301" s="79"/>
      <c r="L301" s="79"/>
      <c r="M301" s="79"/>
      <c r="N301" s="79"/>
      <c r="O301" s="79"/>
      <c r="P301" s="79"/>
      <c r="Q301" s="79"/>
      <c r="R301" s="79"/>
      <c r="S301" s="79"/>
      <c r="T301" s="79"/>
      <c r="U301" s="79"/>
      <c r="V301" s="79"/>
      <c r="W301" s="79"/>
      <c r="X301" s="79"/>
      <c r="Y301" s="79"/>
      <c r="Z301" s="79"/>
      <c r="AA301" s="79"/>
      <c r="AB301" s="79"/>
      <c r="AC301" s="79"/>
    </row>
    <row r="302" spans="10:29" x14ac:dyDescent="0.35">
      <c r="J302" s="79"/>
      <c r="K302" s="79"/>
      <c r="L302" s="79"/>
      <c r="M302" s="79"/>
      <c r="N302" s="79"/>
      <c r="O302" s="79"/>
      <c r="P302" s="79"/>
      <c r="Q302" s="79"/>
      <c r="R302" s="79"/>
      <c r="S302" s="79"/>
      <c r="T302" s="79"/>
      <c r="U302" s="79"/>
      <c r="V302" s="79"/>
      <c r="W302" s="79"/>
      <c r="X302" s="79"/>
      <c r="Y302" s="79"/>
      <c r="Z302" s="79"/>
      <c r="AA302" s="79"/>
      <c r="AB302" s="79"/>
      <c r="AC302" s="79"/>
    </row>
    <row r="303" spans="10:29" x14ac:dyDescent="0.35">
      <c r="J303" s="79"/>
      <c r="K303" s="79"/>
      <c r="L303" s="79"/>
      <c r="M303" s="79"/>
      <c r="N303" s="79"/>
      <c r="O303" s="79"/>
      <c r="P303" s="79"/>
      <c r="Q303" s="79"/>
      <c r="R303" s="79"/>
      <c r="S303" s="79"/>
      <c r="T303" s="79"/>
      <c r="U303" s="79"/>
      <c r="V303" s="79"/>
      <c r="W303" s="79"/>
      <c r="X303" s="79"/>
      <c r="Y303" s="79"/>
      <c r="Z303" s="79"/>
      <c r="AA303" s="79"/>
      <c r="AB303" s="79"/>
      <c r="AC303" s="79"/>
    </row>
    <row r="304" spans="10:29" x14ac:dyDescent="0.35">
      <c r="J304" s="79"/>
      <c r="K304" s="79"/>
      <c r="L304" s="79"/>
      <c r="M304" s="79"/>
      <c r="N304" s="79"/>
      <c r="O304" s="79"/>
      <c r="P304" s="79"/>
      <c r="Q304" s="79"/>
      <c r="R304" s="79"/>
      <c r="S304" s="79"/>
      <c r="T304" s="79"/>
      <c r="U304" s="79"/>
      <c r="V304" s="79"/>
      <c r="W304" s="79"/>
      <c r="X304" s="79"/>
      <c r="Y304" s="79"/>
      <c r="Z304" s="79"/>
      <c r="AA304" s="79"/>
      <c r="AB304" s="79"/>
      <c r="AC304" s="79"/>
    </row>
    <row r="305" spans="10:29" x14ac:dyDescent="0.35">
      <c r="J305" s="79"/>
      <c r="K305" s="79"/>
      <c r="L305" s="79"/>
      <c r="M305" s="79"/>
      <c r="N305" s="79"/>
      <c r="O305" s="79"/>
      <c r="P305" s="79"/>
      <c r="Q305" s="79"/>
      <c r="R305" s="79"/>
      <c r="S305" s="79"/>
      <c r="T305" s="79"/>
      <c r="U305" s="79"/>
      <c r="V305" s="79"/>
      <c r="W305" s="79"/>
      <c r="X305" s="79"/>
      <c r="Y305" s="79"/>
      <c r="Z305" s="79"/>
      <c r="AA305" s="79"/>
      <c r="AB305" s="79"/>
      <c r="AC305" s="79"/>
    </row>
    <row r="306" spans="10:29" x14ac:dyDescent="0.35">
      <c r="J306" s="79"/>
      <c r="K306" s="79"/>
      <c r="L306" s="79"/>
      <c r="M306" s="79"/>
      <c r="N306" s="79"/>
      <c r="O306" s="79"/>
      <c r="P306" s="79"/>
      <c r="Q306" s="79"/>
      <c r="R306" s="79"/>
      <c r="S306" s="79"/>
      <c r="T306" s="79"/>
      <c r="U306" s="79"/>
      <c r="V306" s="79"/>
      <c r="W306" s="79"/>
      <c r="X306" s="79"/>
      <c r="Y306" s="79"/>
      <c r="Z306" s="79"/>
      <c r="AA306" s="79"/>
      <c r="AB306" s="79"/>
      <c r="AC306" s="79"/>
    </row>
    <row r="307" spans="10:29" x14ac:dyDescent="0.35">
      <c r="J307" s="79"/>
      <c r="K307" s="79"/>
      <c r="L307" s="79"/>
      <c r="M307" s="79"/>
      <c r="N307" s="79"/>
      <c r="O307" s="79"/>
      <c r="P307" s="79"/>
      <c r="Q307" s="79"/>
      <c r="R307" s="79"/>
      <c r="S307" s="79"/>
      <c r="T307" s="79"/>
      <c r="U307" s="79"/>
      <c r="V307" s="79"/>
      <c r="W307" s="79"/>
      <c r="X307" s="79"/>
      <c r="Y307" s="79"/>
      <c r="Z307" s="79"/>
      <c r="AA307" s="79"/>
      <c r="AB307" s="79"/>
      <c r="AC307" s="79"/>
    </row>
    <row r="308" spans="10:29" x14ac:dyDescent="0.35">
      <c r="J308" s="79"/>
      <c r="K308" s="79"/>
      <c r="L308" s="79"/>
      <c r="M308" s="79"/>
      <c r="N308" s="79"/>
      <c r="O308" s="79"/>
      <c r="P308" s="79"/>
      <c r="Q308" s="79"/>
      <c r="R308" s="79"/>
      <c r="S308" s="79"/>
      <c r="T308" s="79"/>
      <c r="U308" s="79"/>
      <c r="V308" s="79"/>
      <c r="W308" s="79"/>
      <c r="X308" s="79"/>
      <c r="Y308" s="79"/>
      <c r="Z308" s="79"/>
      <c r="AA308" s="79"/>
      <c r="AB308" s="79"/>
      <c r="AC308" s="79"/>
    </row>
    <row r="309" spans="10:29" x14ac:dyDescent="0.35">
      <c r="J309" s="79"/>
      <c r="K309" s="79"/>
      <c r="L309" s="79"/>
      <c r="M309" s="79"/>
      <c r="N309" s="79"/>
      <c r="O309" s="79"/>
      <c r="P309" s="79"/>
      <c r="Q309" s="79"/>
      <c r="R309" s="79"/>
      <c r="S309" s="79"/>
      <c r="T309" s="79"/>
      <c r="U309" s="79"/>
      <c r="V309" s="79"/>
      <c r="W309" s="79"/>
      <c r="X309" s="79"/>
      <c r="Y309" s="79"/>
      <c r="Z309" s="79"/>
      <c r="AA309" s="79"/>
      <c r="AB309" s="79"/>
      <c r="AC309" s="79"/>
    </row>
    <row r="310" spans="10:29" x14ac:dyDescent="0.35">
      <c r="J310" s="79"/>
      <c r="K310" s="79"/>
      <c r="L310" s="79"/>
      <c r="M310" s="79"/>
      <c r="N310" s="79"/>
      <c r="O310" s="79"/>
      <c r="P310" s="79"/>
      <c r="Q310" s="79"/>
      <c r="R310" s="79"/>
      <c r="S310" s="79"/>
      <c r="T310" s="79"/>
      <c r="U310" s="79"/>
      <c r="V310" s="79"/>
      <c r="W310" s="79"/>
      <c r="X310" s="79"/>
      <c r="Y310" s="79"/>
      <c r="Z310" s="79"/>
      <c r="AA310" s="79"/>
      <c r="AB310" s="79"/>
      <c r="AC310" s="79"/>
    </row>
    <row r="311" spans="10:29" x14ac:dyDescent="0.35">
      <c r="J311" s="79"/>
      <c r="K311" s="79"/>
      <c r="L311" s="79"/>
      <c r="M311" s="79"/>
      <c r="N311" s="79"/>
      <c r="O311" s="79"/>
      <c r="P311" s="79"/>
      <c r="Q311" s="79"/>
      <c r="R311" s="79"/>
      <c r="S311" s="79"/>
      <c r="T311" s="79"/>
      <c r="U311" s="79"/>
      <c r="V311" s="79"/>
      <c r="W311" s="79"/>
      <c r="X311" s="79"/>
      <c r="Y311" s="79"/>
      <c r="Z311" s="79"/>
      <c r="AA311" s="79"/>
      <c r="AB311" s="79"/>
      <c r="AC311" s="79"/>
    </row>
    <row r="312" spans="10:29" x14ac:dyDescent="0.35">
      <c r="J312" s="79"/>
      <c r="K312" s="79"/>
      <c r="L312" s="79"/>
      <c r="M312" s="79"/>
      <c r="N312" s="79"/>
      <c r="O312" s="79"/>
      <c r="P312" s="79"/>
      <c r="Q312" s="79"/>
      <c r="R312" s="79"/>
      <c r="S312" s="79"/>
      <c r="T312" s="79"/>
      <c r="U312" s="79"/>
      <c r="V312" s="79"/>
      <c r="W312" s="79"/>
      <c r="X312" s="79"/>
      <c r="Y312" s="79"/>
      <c r="Z312" s="79"/>
      <c r="AA312" s="79"/>
      <c r="AB312" s="79"/>
      <c r="AC312" s="79"/>
    </row>
    <row r="313" spans="10:29" x14ac:dyDescent="0.35">
      <c r="J313" s="79"/>
      <c r="K313" s="79"/>
      <c r="L313" s="79"/>
      <c r="M313" s="79"/>
      <c r="N313" s="79"/>
      <c r="O313" s="79"/>
      <c r="P313" s="79"/>
      <c r="Q313" s="79"/>
      <c r="R313" s="79"/>
      <c r="S313" s="79"/>
      <c r="T313" s="79"/>
      <c r="U313" s="79"/>
      <c r="V313" s="79"/>
      <c r="W313" s="79"/>
      <c r="X313" s="79"/>
      <c r="Y313" s="79"/>
      <c r="Z313" s="79"/>
      <c r="AA313" s="79"/>
      <c r="AB313" s="79"/>
      <c r="AC313" s="79"/>
    </row>
    <row r="314" spans="10:29" x14ac:dyDescent="0.35">
      <c r="J314" s="79"/>
      <c r="K314" s="79"/>
      <c r="L314" s="79"/>
      <c r="M314" s="79"/>
      <c r="N314" s="79"/>
      <c r="O314" s="79"/>
      <c r="P314" s="79"/>
      <c r="Q314" s="79"/>
      <c r="R314" s="79"/>
      <c r="S314" s="79"/>
      <c r="T314" s="79"/>
      <c r="U314" s="79"/>
      <c r="V314" s="79"/>
      <c r="W314" s="79"/>
      <c r="X314" s="79"/>
      <c r="Y314" s="79"/>
      <c r="Z314" s="79"/>
      <c r="AA314" s="79"/>
      <c r="AB314" s="79"/>
      <c r="AC314" s="79"/>
    </row>
    <row r="315" spans="10:29" x14ac:dyDescent="0.35">
      <c r="J315" s="79"/>
      <c r="K315" s="79"/>
      <c r="L315" s="79"/>
      <c r="M315" s="79"/>
      <c r="N315" s="79"/>
      <c r="O315" s="79"/>
      <c r="P315" s="79"/>
      <c r="Q315" s="79"/>
      <c r="R315" s="79"/>
      <c r="S315" s="79"/>
      <c r="T315" s="79"/>
      <c r="U315" s="79"/>
      <c r="V315" s="79"/>
      <c r="W315" s="79"/>
      <c r="X315" s="79"/>
      <c r="Y315" s="79"/>
      <c r="Z315" s="79"/>
      <c r="AA315" s="79"/>
      <c r="AB315" s="79"/>
      <c r="AC315" s="79"/>
    </row>
    <row r="316" spans="10:29" x14ac:dyDescent="0.35">
      <c r="J316" s="79"/>
      <c r="K316" s="79"/>
      <c r="L316" s="79"/>
      <c r="M316" s="79"/>
      <c r="N316" s="79"/>
      <c r="O316" s="79"/>
      <c r="P316" s="79"/>
      <c r="Q316" s="79"/>
      <c r="R316" s="79"/>
      <c r="S316" s="79"/>
      <c r="T316" s="79"/>
      <c r="U316" s="79"/>
      <c r="V316" s="79"/>
      <c r="W316" s="79"/>
      <c r="X316" s="79"/>
      <c r="Y316" s="79"/>
      <c r="Z316" s="79"/>
      <c r="AA316" s="79"/>
      <c r="AB316" s="79"/>
      <c r="AC316" s="79"/>
    </row>
    <row r="317" spans="10:29" x14ac:dyDescent="0.35">
      <c r="J317" s="79"/>
      <c r="K317" s="79"/>
      <c r="L317" s="79"/>
      <c r="M317" s="79"/>
      <c r="N317" s="79"/>
      <c r="O317" s="79"/>
      <c r="P317" s="79"/>
      <c r="Q317" s="79"/>
      <c r="R317" s="79"/>
      <c r="S317" s="79"/>
      <c r="T317" s="79"/>
      <c r="U317" s="79"/>
      <c r="V317" s="79"/>
      <c r="W317" s="79"/>
      <c r="X317" s="79"/>
      <c r="Y317" s="79"/>
      <c r="Z317" s="79"/>
      <c r="AA317" s="79"/>
      <c r="AB317" s="79"/>
      <c r="AC317" s="79"/>
    </row>
    <row r="318" spans="10:29" x14ac:dyDescent="0.35">
      <c r="J318" s="79"/>
      <c r="K318" s="79"/>
      <c r="L318" s="79"/>
      <c r="M318" s="79"/>
      <c r="N318" s="79"/>
      <c r="O318" s="79"/>
      <c r="P318" s="79"/>
      <c r="Q318" s="79"/>
      <c r="R318" s="79"/>
      <c r="S318" s="79"/>
      <c r="T318" s="79"/>
      <c r="U318" s="79"/>
      <c r="V318" s="79"/>
      <c r="W318" s="79"/>
      <c r="X318" s="79"/>
      <c r="Y318" s="79"/>
      <c r="Z318" s="79"/>
      <c r="AA318" s="79"/>
      <c r="AB318" s="79"/>
      <c r="AC318" s="79"/>
    </row>
    <row r="319" spans="10:29" x14ac:dyDescent="0.35">
      <c r="J319" s="79"/>
      <c r="K319" s="79"/>
      <c r="L319" s="79"/>
      <c r="M319" s="79"/>
      <c r="N319" s="79"/>
      <c r="O319" s="79"/>
      <c r="P319" s="79"/>
      <c r="Q319" s="79"/>
      <c r="R319" s="79"/>
      <c r="S319" s="79"/>
      <c r="T319" s="79"/>
      <c r="U319" s="79"/>
      <c r="V319" s="79"/>
      <c r="W319" s="79"/>
      <c r="X319" s="79"/>
      <c r="Y319" s="79"/>
      <c r="Z319" s="79"/>
      <c r="AA319" s="79"/>
      <c r="AB319" s="79"/>
      <c r="AC319" s="79"/>
    </row>
    <row r="320" spans="10:29" x14ac:dyDescent="0.35">
      <c r="J320" s="79"/>
      <c r="K320" s="79"/>
      <c r="L320" s="79"/>
      <c r="M320" s="79"/>
      <c r="N320" s="79"/>
      <c r="O320" s="79"/>
      <c r="P320" s="79"/>
      <c r="Q320" s="79"/>
      <c r="R320" s="79"/>
      <c r="S320" s="79"/>
      <c r="T320" s="79"/>
      <c r="U320" s="79"/>
      <c r="V320" s="79"/>
      <c r="W320" s="79"/>
      <c r="X320" s="79"/>
      <c r="Y320" s="79"/>
      <c r="Z320" s="79"/>
      <c r="AA320" s="79"/>
      <c r="AB320" s="79"/>
      <c r="AC320" s="79"/>
    </row>
    <row r="321" spans="10:29" x14ac:dyDescent="0.35">
      <c r="J321" s="79"/>
      <c r="K321" s="79"/>
      <c r="L321" s="79"/>
      <c r="M321" s="79"/>
      <c r="N321" s="79"/>
      <c r="O321" s="79"/>
      <c r="P321" s="79"/>
      <c r="Q321" s="79"/>
      <c r="R321" s="79"/>
      <c r="S321" s="79"/>
      <c r="T321" s="79"/>
      <c r="U321" s="79"/>
      <c r="V321" s="79"/>
      <c r="W321" s="79"/>
      <c r="X321" s="79"/>
      <c r="Y321" s="79"/>
      <c r="Z321" s="79"/>
      <c r="AA321" s="79"/>
      <c r="AB321" s="79"/>
      <c r="AC321" s="79"/>
    </row>
    <row r="322" spans="10:29" x14ac:dyDescent="0.35">
      <c r="J322" s="79"/>
      <c r="K322" s="79"/>
      <c r="L322" s="79"/>
      <c r="M322" s="79"/>
      <c r="N322" s="79"/>
      <c r="O322" s="79"/>
      <c r="P322" s="79"/>
      <c r="Q322" s="79"/>
      <c r="R322" s="79"/>
      <c r="S322" s="79"/>
      <c r="T322" s="79"/>
      <c r="U322" s="79"/>
      <c r="V322" s="79"/>
      <c r="W322" s="79"/>
      <c r="X322" s="79"/>
      <c r="Y322" s="79"/>
      <c r="Z322" s="79"/>
      <c r="AA322" s="79"/>
      <c r="AB322" s="79"/>
      <c r="AC322" s="79"/>
    </row>
    <row r="323" spans="10:29" x14ac:dyDescent="0.35">
      <c r="J323" s="79"/>
      <c r="K323" s="79"/>
      <c r="L323" s="79"/>
      <c r="M323" s="79"/>
      <c r="N323" s="79"/>
      <c r="O323" s="79"/>
      <c r="P323" s="79"/>
      <c r="Q323" s="79"/>
      <c r="R323" s="79"/>
      <c r="S323" s="79"/>
      <c r="T323" s="79"/>
      <c r="U323" s="79"/>
      <c r="V323" s="79"/>
      <c r="W323" s="79"/>
      <c r="X323" s="79"/>
      <c r="Y323" s="79"/>
      <c r="Z323" s="79"/>
      <c r="AA323" s="79"/>
      <c r="AB323" s="79"/>
      <c r="AC323" s="79"/>
    </row>
    <row r="324" spans="10:29" x14ac:dyDescent="0.35">
      <c r="J324" s="79"/>
      <c r="K324" s="79"/>
      <c r="L324" s="79"/>
      <c r="M324" s="79"/>
      <c r="N324" s="79"/>
      <c r="O324" s="79"/>
      <c r="P324" s="79"/>
      <c r="Q324" s="79"/>
      <c r="R324" s="79"/>
      <c r="S324" s="79"/>
      <c r="T324" s="79"/>
      <c r="U324" s="79"/>
      <c r="V324" s="79"/>
      <c r="W324" s="79"/>
      <c r="X324" s="79"/>
      <c r="Y324" s="79"/>
      <c r="Z324" s="79"/>
      <c r="AA324" s="79"/>
      <c r="AB324" s="79"/>
      <c r="AC324" s="79"/>
    </row>
    <row r="325" spans="10:29" x14ac:dyDescent="0.35">
      <c r="J325" s="79"/>
      <c r="K325" s="79"/>
      <c r="L325" s="79"/>
      <c r="M325" s="79"/>
      <c r="N325" s="79"/>
      <c r="O325" s="79"/>
      <c r="P325" s="79"/>
      <c r="Q325" s="79"/>
      <c r="R325" s="79"/>
      <c r="S325" s="79"/>
      <c r="T325" s="79"/>
      <c r="U325" s="79"/>
      <c r="V325" s="79"/>
      <c r="W325" s="79"/>
      <c r="X325" s="79"/>
      <c r="Y325" s="79"/>
      <c r="Z325" s="79"/>
      <c r="AA325" s="79"/>
      <c r="AB325" s="79"/>
      <c r="AC325" s="79"/>
    </row>
    <row r="326" spans="10:29" x14ac:dyDescent="0.35">
      <c r="J326" s="79"/>
      <c r="K326" s="79"/>
      <c r="L326" s="79"/>
      <c r="M326" s="79"/>
      <c r="N326" s="79"/>
      <c r="O326" s="79"/>
      <c r="P326" s="79"/>
      <c r="Q326" s="79"/>
      <c r="R326" s="79"/>
      <c r="S326" s="79"/>
      <c r="T326" s="79"/>
      <c r="U326" s="79"/>
      <c r="V326" s="79"/>
      <c r="W326" s="79"/>
      <c r="X326" s="79"/>
      <c r="Y326" s="79"/>
      <c r="Z326" s="79"/>
      <c r="AA326" s="79"/>
      <c r="AB326" s="79"/>
      <c r="AC326" s="79"/>
    </row>
    <row r="327" spans="10:29" x14ac:dyDescent="0.35">
      <c r="J327" s="79"/>
      <c r="K327" s="79"/>
      <c r="L327" s="79"/>
      <c r="M327" s="79"/>
      <c r="N327" s="79"/>
      <c r="O327" s="79"/>
      <c r="P327" s="79"/>
      <c r="Q327" s="79"/>
      <c r="R327" s="79"/>
      <c r="S327" s="79"/>
      <c r="T327" s="79"/>
      <c r="U327" s="79"/>
      <c r="V327" s="79"/>
      <c r="W327" s="79"/>
      <c r="X327" s="79"/>
      <c r="Y327" s="79"/>
      <c r="Z327" s="79"/>
      <c r="AA327" s="79"/>
      <c r="AB327" s="79"/>
      <c r="AC327" s="79"/>
    </row>
    <row r="328" spans="10:29" x14ac:dyDescent="0.35">
      <c r="J328" s="79"/>
      <c r="K328" s="79"/>
      <c r="L328" s="79"/>
      <c r="M328" s="79"/>
      <c r="N328" s="79"/>
      <c r="O328" s="79"/>
      <c r="P328" s="79"/>
      <c r="Q328" s="79"/>
      <c r="R328" s="79"/>
      <c r="S328" s="79"/>
      <c r="T328" s="79"/>
      <c r="U328" s="79"/>
      <c r="V328" s="79"/>
      <c r="W328" s="79"/>
      <c r="X328" s="79"/>
      <c r="Y328" s="79"/>
      <c r="Z328" s="79"/>
      <c r="AA328" s="79"/>
      <c r="AB328" s="79"/>
      <c r="AC328" s="79"/>
    </row>
    <row r="329" spans="10:29" x14ac:dyDescent="0.35">
      <c r="J329" s="79"/>
      <c r="K329" s="79"/>
      <c r="L329" s="79"/>
      <c r="M329" s="79"/>
      <c r="N329" s="79"/>
      <c r="O329" s="79"/>
      <c r="P329" s="79"/>
      <c r="Q329" s="79"/>
      <c r="R329" s="79"/>
      <c r="S329" s="79"/>
      <c r="T329" s="79"/>
      <c r="U329" s="79"/>
      <c r="V329" s="79"/>
      <c r="W329" s="79"/>
      <c r="X329" s="79"/>
      <c r="Y329" s="79"/>
      <c r="Z329" s="79"/>
      <c r="AA329" s="79"/>
      <c r="AB329" s="79"/>
      <c r="AC329" s="79"/>
    </row>
    <row r="330" spans="10:29" x14ac:dyDescent="0.35">
      <c r="J330" s="79"/>
      <c r="K330" s="79"/>
      <c r="L330" s="79"/>
      <c r="M330" s="79"/>
      <c r="N330" s="79"/>
      <c r="O330" s="79"/>
      <c r="P330" s="79"/>
      <c r="Q330" s="79"/>
      <c r="R330" s="79"/>
      <c r="S330" s="79"/>
      <c r="T330" s="79"/>
      <c r="U330" s="79"/>
      <c r="V330" s="79"/>
      <c r="W330" s="79"/>
      <c r="X330" s="79"/>
      <c r="Y330" s="79"/>
      <c r="Z330" s="79"/>
      <c r="AA330" s="79"/>
      <c r="AB330" s="79"/>
      <c r="AC330" s="79"/>
    </row>
    <row r="331" spans="10:29" x14ac:dyDescent="0.35">
      <c r="J331" s="79"/>
      <c r="K331" s="79"/>
      <c r="L331" s="79"/>
      <c r="M331" s="79"/>
      <c r="N331" s="79"/>
      <c r="O331" s="79"/>
      <c r="P331" s="79"/>
      <c r="Q331" s="79"/>
      <c r="R331" s="79"/>
      <c r="S331" s="79"/>
      <c r="T331" s="79"/>
      <c r="U331" s="79"/>
      <c r="V331" s="79"/>
      <c r="W331" s="79"/>
      <c r="X331" s="79"/>
      <c r="Y331" s="79"/>
      <c r="Z331" s="79"/>
      <c r="AA331" s="79"/>
      <c r="AB331" s="79"/>
      <c r="AC331" s="79"/>
    </row>
    <row r="332" spans="10:29" x14ac:dyDescent="0.35">
      <c r="J332" s="79"/>
      <c r="K332" s="79"/>
      <c r="L332" s="79"/>
      <c r="M332" s="79"/>
      <c r="N332" s="79"/>
      <c r="O332" s="79"/>
      <c r="P332" s="79"/>
      <c r="Q332" s="79"/>
      <c r="R332" s="79"/>
      <c r="S332" s="79"/>
      <c r="T332" s="79"/>
      <c r="U332" s="79"/>
      <c r="V332" s="79"/>
      <c r="W332" s="79"/>
      <c r="X332" s="79"/>
      <c r="Y332" s="79"/>
      <c r="Z332" s="79"/>
      <c r="AA332" s="79"/>
      <c r="AB332" s="79"/>
      <c r="AC332" s="79"/>
    </row>
    <row r="333" spans="10:29" x14ac:dyDescent="0.35">
      <c r="J333" s="79"/>
      <c r="K333" s="79"/>
      <c r="L333" s="79"/>
      <c r="M333" s="79"/>
      <c r="N333" s="79"/>
      <c r="O333" s="79"/>
      <c r="P333" s="79"/>
      <c r="Q333" s="79"/>
      <c r="R333" s="79"/>
      <c r="S333" s="79"/>
      <c r="T333" s="79"/>
      <c r="U333" s="79"/>
      <c r="V333" s="79"/>
      <c r="W333" s="79"/>
      <c r="X333" s="79"/>
      <c r="Y333" s="79"/>
      <c r="Z333" s="79"/>
      <c r="AA333" s="79"/>
      <c r="AB333" s="79"/>
      <c r="AC333" s="79"/>
    </row>
    <row r="334" spans="10:29" x14ac:dyDescent="0.35">
      <c r="J334" s="79"/>
      <c r="K334" s="79"/>
      <c r="L334" s="79"/>
      <c r="M334" s="79"/>
      <c r="N334" s="79"/>
      <c r="O334" s="79"/>
      <c r="P334" s="79"/>
      <c r="Q334" s="79"/>
      <c r="R334" s="79"/>
      <c r="S334" s="79"/>
      <c r="T334" s="79"/>
      <c r="U334" s="79"/>
      <c r="V334" s="79"/>
      <c r="W334" s="79"/>
      <c r="X334" s="79"/>
      <c r="Y334" s="79"/>
      <c r="Z334" s="79"/>
      <c r="AA334" s="79"/>
      <c r="AB334" s="79"/>
      <c r="AC334" s="79"/>
    </row>
    <row r="335" spans="10:29" x14ac:dyDescent="0.35">
      <c r="J335" s="79"/>
      <c r="K335" s="79"/>
      <c r="L335" s="79"/>
      <c r="M335" s="79"/>
      <c r="N335" s="79"/>
      <c r="O335" s="79"/>
      <c r="P335" s="79"/>
      <c r="Q335" s="79"/>
      <c r="R335" s="79"/>
      <c r="S335" s="79"/>
      <c r="T335" s="79"/>
      <c r="U335" s="79"/>
      <c r="V335" s="79"/>
      <c r="W335" s="79"/>
      <c r="X335" s="79"/>
      <c r="Y335" s="79"/>
      <c r="Z335" s="79"/>
      <c r="AA335" s="79"/>
      <c r="AB335" s="79"/>
      <c r="AC335" s="79"/>
    </row>
    <row r="336" spans="10:29" x14ac:dyDescent="0.35">
      <c r="J336" s="79"/>
      <c r="K336" s="79"/>
      <c r="L336" s="79"/>
      <c r="M336" s="79"/>
      <c r="N336" s="79"/>
      <c r="O336" s="79"/>
      <c r="P336" s="79"/>
      <c r="Q336" s="79"/>
      <c r="R336" s="79"/>
      <c r="S336" s="79"/>
      <c r="T336" s="79"/>
      <c r="U336" s="79"/>
      <c r="V336" s="79"/>
      <c r="W336" s="79"/>
      <c r="X336" s="79"/>
      <c r="Y336" s="79"/>
      <c r="Z336" s="79"/>
      <c r="AA336" s="79"/>
      <c r="AB336" s="79"/>
      <c r="AC336" s="79"/>
    </row>
    <row r="337" spans="10:29" x14ac:dyDescent="0.35">
      <c r="J337" s="79"/>
      <c r="K337" s="79"/>
      <c r="L337" s="79"/>
      <c r="M337" s="79"/>
      <c r="N337" s="79"/>
      <c r="O337" s="79"/>
      <c r="P337" s="79"/>
      <c r="Q337" s="79"/>
      <c r="R337" s="79"/>
      <c r="S337" s="79"/>
      <c r="T337" s="79"/>
      <c r="U337" s="79"/>
      <c r="V337" s="79"/>
      <c r="W337" s="79"/>
      <c r="X337" s="79"/>
      <c r="Y337" s="79"/>
      <c r="Z337" s="79"/>
      <c r="AA337" s="79"/>
      <c r="AB337" s="79"/>
      <c r="AC337" s="79"/>
    </row>
    <row r="338" spans="10:29" x14ac:dyDescent="0.35">
      <c r="J338" s="79"/>
      <c r="K338" s="79"/>
      <c r="L338" s="79"/>
      <c r="M338" s="79"/>
      <c r="N338" s="79"/>
      <c r="O338" s="79"/>
      <c r="P338" s="79"/>
      <c r="Q338" s="79"/>
      <c r="R338" s="79"/>
      <c r="S338" s="79"/>
      <c r="T338" s="79"/>
      <c r="U338" s="79"/>
      <c r="V338" s="79"/>
      <c r="W338" s="79"/>
      <c r="X338" s="79"/>
      <c r="Y338" s="79"/>
      <c r="Z338" s="79"/>
      <c r="AA338" s="79"/>
      <c r="AB338" s="79"/>
      <c r="AC338" s="79"/>
    </row>
    <row r="339" spans="10:29" x14ac:dyDescent="0.35">
      <c r="J339" s="79"/>
      <c r="K339" s="79"/>
      <c r="L339" s="79"/>
      <c r="M339" s="79"/>
      <c r="N339" s="79"/>
      <c r="O339" s="79"/>
      <c r="P339" s="79"/>
      <c r="Q339" s="79"/>
      <c r="R339" s="79"/>
      <c r="S339" s="79"/>
      <c r="T339" s="79"/>
      <c r="U339" s="79"/>
      <c r="V339" s="79"/>
      <c r="W339" s="79"/>
      <c r="X339" s="79"/>
      <c r="Y339" s="79"/>
      <c r="Z339" s="79"/>
      <c r="AA339" s="79"/>
      <c r="AB339" s="79"/>
      <c r="AC339" s="79"/>
    </row>
    <row r="340" spans="10:29" x14ac:dyDescent="0.35">
      <c r="J340" s="79"/>
      <c r="K340" s="79"/>
      <c r="L340" s="79"/>
      <c r="M340" s="79"/>
      <c r="N340" s="79"/>
      <c r="O340" s="79"/>
      <c r="P340" s="79"/>
      <c r="Q340" s="79"/>
      <c r="R340" s="79"/>
      <c r="S340" s="79"/>
      <c r="T340" s="79"/>
      <c r="U340" s="79"/>
      <c r="V340" s="79"/>
      <c r="W340" s="79"/>
      <c r="X340" s="79"/>
      <c r="Y340" s="79"/>
      <c r="Z340" s="79"/>
      <c r="AA340" s="79"/>
      <c r="AB340" s="79"/>
      <c r="AC340" s="79"/>
    </row>
    <row r="341" spans="10:29" x14ac:dyDescent="0.35">
      <c r="J341" s="79"/>
      <c r="K341" s="79"/>
      <c r="L341" s="79"/>
      <c r="M341" s="79"/>
      <c r="N341" s="79"/>
      <c r="O341" s="79"/>
      <c r="P341" s="79"/>
      <c r="Q341" s="79"/>
      <c r="R341" s="79"/>
      <c r="S341" s="79"/>
      <c r="T341" s="79"/>
      <c r="U341" s="79"/>
      <c r="V341" s="79"/>
      <c r="W341" s="79"/>
      <c r="X341" s="79"/>
      <c r="Y341" s="79"/>
      <c r="Z341" s="79"/>
      <c r="AA341" s="79"/>
      <c r="AB341" s="79"/>
      <c r="AC341" s="79"/>
    </row>
    <row r="342" spans="10:29" x14ac:dyDescent="0.35">
      <c r="J342" s="79"/>
      <c r="K342" s="79"/>
      <c r="L342" s="79"/>
      <c r="M342" s="79"/>
      <c r="N342" s="79"/>
      <c r="O342" s="79"/>
      <c r="P342" s="79"/>
      <c r="Q342" s="79"/>
      <c r="R342" s="79"/>
      <c r="S342" s="79"/>
      <c r="T342" s="79"/>
      <c r="U342" s="79"/>
      <c r="V342" s="79"/>
      <c r="W342" s="79"/>
      <c r="X342" s="79"/>
      <c r="Y342" s="79"/>
      <c r="Z342" s="79"/>
      <c r="AA342" s="79"/>
      <c r="AB342" s="79"/>
      <c r="AC342" s="79"/>
    </row>
    <row r="343" spans="10:29" x14ac:dyDescent="0.35">
      <c r="J343" s="79"/>
      <c r="K343" s="79"/>
      <c r="L343" s="79"/>
      <c r="M343" s="79"/>
      <c r="N343" s="79"/>
      <c r="O343" s="79"/>
      <c r="P343" s="79"/>
      <c r="Q343" s="79"/>
      <c r="R343" s="79"/>
      <c r="S343" s="79"/>
      <c r="T343" s="79"/>
      <c r="U343" s="79"/>
      <c r="V343" s="79"/>
      <c r="W343" s="79"/>
      <c r="X343" s="79"/>
      <c r="Y343" s="79"/>
      <c r="Z343" s="79"/>
      <c r="AA343" s="79"/>
      <c r="AB343" s="79"/>
      <c r="AC343" s="79"/>
    </row>
    <row r="344" spans="10:29" x14ac:dyDescent="0.35">
      <c r="J344" s="79"/>
      <c r="K344" s="79"/>
      <c r="L344" s="79"/>
      <c r="M344" s="79"/>
      <c r="N344" s="79"/>
      <c r="O344" s="79"/>
      <c r="P344" s="79"/>
      <c r="Q344" s="79"/>
      <c r="R344" s="79"/>
      <c r="S344" s="79"/>
      <c r="T344" s="79"/>
      <c r="U344" s="79"/>
      <c r="V344" s="79"/>
      <c r="W344" s="79"/>
      <c r="X344" s="79"/>
      <c r="Y344" s="79"/>
      <c r="Z344" s="79"/>
      <c r="AA344" s="79"/>
      <c r="AB344" s="79"/>
      <c r="AC344" s="79"/>
    </row>
    <row r="345" spans="10:29" x14ac:dyDescent="0.35">
      <c r="J345" s="79"/>
      <c r="K345" s="79"/>
      <c r="L345" s="79"/>
      <c r="M345" s="79"/>
      <c r="N345" s="79"/>
      <c r="O345" s="79"/>
      <c r="P345" s="79"/>
      <c r="Q345" s="79"/>
      <c r="R345" s="79"/>
      <c r="S345" s="79"/>
      <c r="T345" s="79"/>
      <c r="U345" s="79"/>
      <c r="V345" s="79"/>
      <c r="W345" s="79"/>
      <c r="X345" s="79"/>
      <c r="Y345" s="79"/>
      <c r="Z345" s="79"/>
      <c r="AA345" s="79"/>
      <c r="AB345" s="79"/>
      <c r="AC345" s="79"/>
    </row>
    <row r="346" spans="10:29" x14ac:dyDescent="0.35">
      <c r="J346" s="79"/>
      <c r="K346" s="79"/>
      <c r="L346" s="79"/>
      <c r="M346" s="79"/>
      <c r="N346" s="79"/>
      <c r="O346" s="79"/>
      <c r="P346" s="79"/>
      <c r="Q346" s="79"/>
      <c r="R346" s="79"/>
      <c r="S346" s="79"/>
      <c r="T346" s="79"/>
      <c r="U346" s="79"/>
      <c r="V346" s="79"/>
      <c r="W346" s="79"/>
      <c r="X346" s="79"/>
      <c r="Y346" s="79"/>
      <c r="Z346" s="79"/>
      <c r="AA346" s="79"/>
      <c r="AB346" s="79"/>
      <c r="AC346" s="79"/>
    </row>
    <row r="347" spans="10:29" x14ac:dyDescent="0.35">
      <c r="J347" s="79"/>
      <c r="K347" s="79"/>
      <c r="L347" s="79"/>
      <c r="M347" s="79"/>
      <c r="N347" s="79"/>
      <c r="O347" s="79"/>
      <c r="P347" s="79"/>
      <c r="Q347" s="79"/>
      <c r="R347" s="79"/>
      <c r="S347" s="79"/>
      <c r="T347" s="79"/>
      <c r="U347" s="79"/>
      <c r="V347" s="79"/>
      <c r="W347" s="79"/>
      <c r="X347" s="79"/>
      <c r="Y347" s="79"/>
      <c r="Z347" s="79"/>
      <c r="AA347" s="79"/>
      <c r="AB347" s="79"/>
      <c r="AC347" s="79"/>
    </row>
    <row r="348" spans="10:29" x14ac:dyDescent="0.35">
      <c r="J348" s="79"/>
      <c r="K348" s="79"/>
      <c r="L348" s="79"/>
      <c r="M348" s="79"/>
      <c r="N348" s="79"/>
      <c r="O348" s="79"/>
      <c r="P348" s="79"/>
      <c r="Q348" s="79"/>
      <c r="R348" s="79"/>
      <c r="S348" s="79"/>
      <c r="T348" s="79"/>
      <c r="U348" s="79"/>
      <c r="V348" s="79"/>
      <c r="W348" s="79"/>
      <c r="X348" s="79"/>
      <c r="Y348" s="79"/>
      <c r="Z348" s="79"/>
      <c r="AA348" s="79"/>
      <c r="AB348" s="79"/>
      <c r="AC348" s="79"/>
    </row>
    <row r="349" spans="10:29" x14ac:dyDescent="0.35">
      <c r="J349" s="79"/>
      <c r="K349" s="79"/>
      <c r="L349" s="79"/>
      <c r="M349" s="79"/>
      <c r="N349" s="79"/>
      <c r="O349" s="79"/>
      <c r="P349" s="79"/>
      <c r="Q349" s="79"/>
      <c r="R349" s="79"/>
      <c r="S349" s="79"/>
      <c r="T349" s="79"/>
      <c r="U349" s="79"/>
      <c r="V349" s="79"/>
      <c r="W349" s="79"/>
      <c r="X349" s="79"/>
      <c r="Y349" s="79"/>
      <c r="Z349" s="79"/>
      <c r="AA349" s="79"/>
      <c r="AB349" s="79"/>
      <c r="AC349" s="79"/>
    </row>
    <row r="350" spans="10:29" x14ac:dyDescent="0.35">
      <c r="J350" s="79"/>
      <c r="K350" s="79"/>
      <c r="L350" s="79"/>
      <c r="M350" s="79"/>
      <c r="N350" s="79"/>
      <c r="O350" s="79"/>
      <c r="P350" s="79"/>
      <c r="Q350" s="79"/>
      <c r="R350" s="79"/>
      <c r="S350" s="79"/>
      <c r="T350" s="79"/>
      <c r="U350" s="79"/>
      <c r="V350" s="79"/>
      <c r="W350" s="79"/>
      <c r="X350" s="79"/>
      <c r="Y350" s="79"/>
      <c r="Z350" s="79"/>
      <c r="AA350" s="79"/>
      <c r="AB350" s="79"/>
      <c r="AC350" s="79"/>
    </row>
    <row r="351" spans="10:29" x14ac:dyDescent="0.35">
      <c r="J351" s="79"/>
      <c r="K351" s="79"/>
      <c r="L351" s="79"/>
      <c r="M351" s="79"/>
      <c r="N351" s="79"/>
      <c r="O351" s="79"/>
      <c r="P351" s="79"/>
      <c r="Q351" s="79"/>
      <c r="R351" s="79"/>
      <c r="S351" s="79"/>
      <c r="T351" s="79"/>
      <c r="U351" s="79"/>
      <c r="V351" s="79"/>
      <c r="W351" s="79"/>
      <c r="X351" s="79"/>
      <c r="Y351" s="79"/>
      <c r="Z351" s="79"/>
      <c r="AA351" s="79"/>
      <c r="AB351" s="79"/>
      <c r="AC351" s="79"/>
    </row>
    <row r="352" spans="10:29" x14ac:dyDescent="0.35">
      <c r="J352" s="79"/>
      <c r="K352" s="79"/>
      <c r="L352" s="79"/>
      <c r="M352" s="79"/>
      <c r="N352" s="79"/>
      <c r="O352" s="79"/>
      <c r="P352" s="79"/>
      <c r="Q352" s="79"/>
      <c r="R352" s="79"/>
      <c r="S352" s="79"/>
      <c r="T352" s="79"/>
      <c r="U352" s="79"/>
      <c r="V352" s="79"/>
      <c r="W352" s="79"/>
      <c r="X352" s="79"/>
      <c r="Y352" s="79"/>
      <c r="Z352" s="79"/>
      <c r="AA352" s="79"/>
      <c r="AB352" s="79"/>
      <c r="AC352" s="79"/>
    </row>
    <row r="353" spans="10:29" x14ac:dyDescent="0.35">
      <c r="J353" s="79"/>
      <c r="K353" s="79"/>
      <c r="L353" s="79"/>
      <c r="M353" s="79"/>
      <c r="N353" s="79"/>
      <c r="O353" s="79"/>
      <c r="P353" s="79"/>
      <c r="Q353" s="79"/>
      <c r="R353" s="79"/>
      <c r="S353" s="79"/>
      <c r="T353" s="79"/>
      <c r="U353" s="79"/>
      <c r="V353" s="79"/>
      <c r="W353" s="79"/>
      <c r="X353" s="79"/>
      <c r="Y353" s="79"/>
      <c r="Z353" s="79"/>
      <c r="AA353" s="79"/>
      <c r="AB353" s="79"/>
      <c r="AC353" s="79"/>
    </row>
    <row r="354" spans="10:29" x14ac:dyDescent="0.35">
      <c r="J354" s="79"/>
      <c r="K354" s="79"/>
      <c r="L354" s="79"/>
      <c r="M354" s="79"/>
      <c r="N354" s="79"/>
      <c r="O354" s="79"/>
      <c r="P354" s="79"/>
      <c r="Q354" s="79"/>
      <c r="R354" s="79"/>
      <c r="S354" s="79"/>
      <c r="T354" s="79"/>
      <c r="U354" s="79"/>
      <c r="V354" s="79"/>
      <c r="W354" s="79"/>
      <c r="X354" s="79"/>
      <c r="Y354" s="79"/>
      <c r="Z354" s="79"/>
      <c r="AA354" s="79"/>
      <c r="AB354" s="79"/>
      <c r="AC354" s="79"/>
    </row>
    <row r="355" spans="10:29" x14ac:dyDescent="0.35">
      <c r="J355" s="79"/>
      <c r="K355" s="79"/>
      <c r="L355" s="79"/>
      <c r="M355" s="79"/>
      <c r="N355" s="79"/>
      <c r="O355" s="79"/>
      <c r="P355" s="79"/>
      <c r="Q355" s="79"/>
      <c r="R355" s="79"/>
      <c r="S355" s="79"/>
      <c r="T355" s="79"/>
      <c r="U355" s="79"/>
      <c r="V355" s="79"/>
      <c r="W355" s="79"/>
      <c r="X355" s="79"/>
      <c r="Y355" s="79"/>
      <c r="Z355" s="79"/>
      <c r="AA355" s="79"/>
      <c r="AB355" s="79"/>
      <c r="AC355" s="79"/>
    </row>
    <row r="356" spans="10:29" x14ac:dyDescent="0.35">
      <c r="J356" s="79"/>
      <c r="K356" s="79"/>
      <c r="L356" s="79"/>
      <c r="M356" s="79"/>
      <c r="N356" s="79"/>
      <c r="O356" s="79"/>
      <c r="P356" s="79"/>
      <c r="Q356" s="79"/>
      <c r="R356" s="79"/>
      <c r="S356" s="79"/>
      <c r="T356" s="79"/>
      <c r="U356" s="79"/>
      <c r="V356" s="79"/>
      <c r="W356" s="79"/>
      <c r="X356" s="79"/>
      <c r="Y356" s="79"/>
      <c r="Z356" s="79"/>
      <c r="AA356" s="79"/>
      <c r="AB356" s="79"/>
      <c r="AC356" s="79"/>
    </row>
    <row r="357" spans="10:29" x14ac:dyDescent="0.35">
      <c r="J357" s="79"/>
      <c r="K357" s="79"/>
      <c r="L357" s="79"/>
      <c r="M357" s="79"/>
      <c r="N357" s="79"/>
      <c r="O357" s="79"/>
      <c r="P357" s="79"/>
      <c r="Q357" s="79"/>
      <c r="R357" s="79"/>
      <c r="S357" s="79"/>
      <c r="T357" s="79"/>
      <c r="U357" s="79"/>
      <c r="V357" s="79"/>
      <c r="W357" s="79"/>
      <c r="X357" s="79"/>
      <c r="Y357" s="79"/>
      <c r="Z357" s="79"/>
      <c r="AA357" s="79"/>
      <c r="AB357" s="79"/>
      <c r="AC357" s="79"/>
    </row>
    <row r="358" spans="10:29" x14ac:dyDescent="0.35">
      <c r="J358" s="79"/>
      <c r="K358" s="79"/>
      <c r="L358" s="79"/>
      <c r="M358" s="79"/>
      <c r="N358" s="79"/>
      <c r="O358" s="79"/>
      <c r="P358" s="79"/>
      <c r="Q358" s="79"/>
      <c r="R358" s="79"/>
      <c r="S358" s="79"/>
      <c r="T358" s="79"/>
      <c r="U358" s="79"/>
      <c r="V358" s="79"/>
      <c r="W358" s="79"/>
      <c r="X358" s="79"/>
      <c r="Y358" s="79"/>
      <c r="Z358" s="79"/>
      <c r="AA358" s="79"/>
      <c r="AB358" s="79"/>
      <c r="AC358" s="79"/>
    </row>
    <row r="359" spans="10:29" x14ac:dyDescent="0.35">
      <c r="J359" s="79"/>
      <c r="K359" s="79"/>
      <c r="L359" s="79"/>
      <c r="M359" s="79"/>
      <c r="N359" s="79"/>
      <c r="O359" s="79"/>
      <c r="P359" s="79"/>
      <c r="Q359" s="79"/>
      <c r="R359" s="79"/>
      <c r="S359" s="79"/>
      <c r="T359" s="79"/>
      <c r="U359" s="79"/>
      <c r="V359" s="79"/>
      <c r="W359" s="79"/>
      <c r="X359" s="79"/>
      <c r="Y359" s="79"/>
      <c r="Z359" s="79"/>
      <c r="AA359" s="79"/>
      <c r="AB359" s="79"/>
      <c r="AC359" s="79"/>
    </row>
    <row r="360" spans="10:29" x14ac:dyDescent="0.35">
      <c r="J360" s="79"/>
      <c r="K360" s="79"/>
      <c r="L360" s="79"/>
      <c r="M360" s="79"/>
      <c r="N360" s="79"/>
      <c r="O360" s="79"/>
      <c r="P360" s="79"/>
      <c r="Q360" s="79"/>
      <c r="R360" s="79"/>
      <c r="S360" s="79"/>
      <c r="T360" s="79"/>
      <c r="U360" s="79"/>
      <c r="V360" s="79"/>
      <c r="W360" s="79"/>
      <c r="X360" s="79"/>
      <c r="Y360" s="79"/>
      <c r="Z360" s="79"/>
      <c r="AA360" s="79"/>
      <c r="AB360" s="79"/>
      <c r="AC360" s="79"/>
    </row>
    <row r="361" spans="10:29" x14ac:dyDescent="0.35">
      <c r="J361" s="79"/>
      <c r="K361" s="79"/>
      <c r="L361" s="79"/>
      <c r="M361" s="79"/>
      <c r="N361" s="79"/>
      <c r="O361" s="79"/>
      <c r="P361" s="79"/>
      <c r="Q361" s="79"/>
      <c r="R361" s="79"/>
      <c r="S361" s="79"/>
      <c r="T361" s="79"/>
      <c r="U361" s="79"/>
      <c r="V361" s="79"/>
      <c r="W361" s="79"/>
      <c r="X361" s="79"/>
      <c r="Y361" s="79"/>
      <c r="Z361" s="79"/>
      <c r="AA361" s="79"/>
      <c r="AB361" s="79"/>
      <c r="AC361" s="79"/>
    </row>
    <row r="362" spans="10:29" x14ac:dyDescent="0.35">
      <c r="J362" s="79"/>
      <c r="K362" s="79"/>
      <c r="L362" s="79"/>
      <c r="M362" s="79"/>
      <c r="N362" s="79"/>
      <c r="O362" s="79"/>
      <c r="P362" s="79"/>
      <c r="Q362" s="79"/>
      <c r="R362" s="79"/>
      <c r="S362" s="79"/>
      <c r="T362" s="79"/>
      <c r="U362" s="79"/>
      <c r="V362" s="79"/>
      <c r="W362" s="79"/>
      <c r="X362" s="79"/>
      <c r="Y362" s="79"/>
      <c r="Z362" s="79"/>
      <c r="AA362" s="79"/>
      <c r="AB362" s="79"/>
      <c r="AC362" s="79"/>
    </row>
    <row r="363" spans="10:29" x14ac:dyDescent="0.35">
      <c r="J363" s="79"/>
      <c r="K363" s="79"/>
      <c r="L363" s="79"/>
      <c r="M363" s="79"/>
      <c r="N363" s="79"/>
      <c r="O363" s="79"/>
      <c r="P363" s="79"/>
      <c r="Q363" s="79"/>
      <c r="R363" s="79"/>
      <c r="S363" s="79"/>
      <c r="T363" s="79"/>
      <c r="U363" s="79"/>
      <c r="V363" s="79"/>
      <c r="W363" s="79"/>
      <c r="X363" s="79"/>
      <c r="Y363" s="79"/>
      <c r="Z363" s="79"/>
      <c r="AA363" s="79"/>
      <c r="AB363" s="79"/>
      <c r="AC363" s="79"/>
    </row>
    <row r="364" spans="10:29" x14ac:dyDescent="0.35">
      <c r="J364" s="79"/>
      <c r="K364" s="79"/>
      <c r="L364" s="79"/>
      <c r="M364" s="79"/>
      <c r="N364" s="79"/>
      <c r="O364" s="79"/>
      <c r="P364" s="79"/>
      <c r="Q364" s="79"/>
      <c r="R364" s="79"/>
      <c r="S364" s="79"/>
      <c r="T364" s="79"/>
      <c r="U364" s="79"/>
      <c r="V364" s="79"/>
      <c r="W364" s="79"/>
      <c r="X364" s="79"/>
      <c r="Y364" s="79"/>
      <c r="Z364" s="79"/>
      <c r="AA364" s="79"/>
      <c r="AB364" s="79"/>
      <c r="AC364" s="79"/>
    </row>
    <row r="365" spans="10:29" x14ac:dyDescent="0.35">
      <c r="J365" s="79"/>
      <c r="K365" s="79"/>
      <c r="L365" s="79"/>
      <c r="M365" s="79"/>
      <c r="N365" s="79"/>
      <c r="O365" s="79"/>
      <c r="P365" s="79"/>
      <c r="Q365" s="79"/>
      <c r="R365" s="79"/>
      <c r="S365" s="79"/>
      <c r="T365" s="79"/>
      <c r="U365" s="79"/>
      <c r="V365" s="79"/>
      <c r="W365" s="79"/>
      <c r="X365" s="79"/>
      <c r="Y365" s="79"/>
      <c r="Z365" s="79"/>
      <c r="AA365" s="79"/>
      <c r="AB365" s="79"/>
      <c r="AC365" s="79"/>
    </row>
    <row r="366" spans="10:29" x14ac:dyDescent="0.35">
      <c r="J366" s="79"/>
      <c r="K366" s="79"/>
      <c r="L366" s="79"/>
      <c r="M366" s="79"/>
      <c r="N366" s="79"/>
      <c r="O366" s="79"/>
      <c r="P366" s="79"/>
      <c r="Q366" s="79"/>
      <c r="R366" s="79"/>
      <c r="S366" s="79"/>
      <c r="T366" s="79"/>
      <c r="U366" s="79"/>
      <c r="V366" s="79"/>
      <c r="W366" s="79"/>
      <c r="X366" s="79"/>
      <c r="Y366" s="79"/>
      <c r="Z366" s="79"/>
      <c r="AA366" s="79"/>
      <c r="AB366" s="79"/>
      <c r="AC366" s="79"/>
    </row>
    <row r="367" spans="10:29" x14ac:dyDescent="0.35">
      <c r="J367" s="79"/>
      <c r="K367" s="79"/>
      <c r="L367" s="79"/>
      <c r="M367" s="79"/>
      <c r="N367" s="79"/>
      <c r="O367" s="79"/>
      <c r="P367" s="79"/>
      <c r="Q367" s="79"/>
      <c r="R367" s="79"/>
      <c r="S367" s="79"/>
      <c r="T367" s="79"/>
      <c r="U367" s="79"/>
      <c r="V367" s="79"/>
      <c r="W367" s="79"/>
      <c r="X367" s="79"/>
      <c r="Y367" s="79"/>
      <c r="Z367" s="79"/>
      <c r="AA367" s="79"/>
      <c r="AB367" s="79"/>
      <c r="AC367" s="79"/>
    </row>
    <row r="368" spans="10:29" x14ac:dyDescent="0.35">
      <c r="J368" s="79"/>
      <c r="K368" s="79"/>
      <c r="L368" s="79"/>
      <c r="M368" s="79"/>
      <c r="N368" s="79"/>
      <c r="O368" s="79"/>
      <c r="P368" s="79"/>
      <c r="Q368" s="79"/>
      <c r="R368" s="79"/>
      <c r="S368" s="79"/>
      <c r="T368" s="79"/>
      <c r="U368" s="79"/>
      <c r="V368" s="79"/>
      <c r="W368" s="79"/>
      <c r="X368" s="79"/>
      <c r="Y368" s="79"/>
      <c r="Z368" s="79"/>
      <c r="AA368" s="79"/>
      <c r="AB368" s="79"/>
      <c r="AC368" s="79"/>
    </row>
    <row r="369" spans="10:29" x14ac:dyDescent="0.35">
      <c r="J369" s="79"/>
      <c r="K369" s="79"/>
      <c r="L369" s="79"/>
      <c r="M369" s="79"/>
      <c r="N369" s="79"/>
      <c r="O369" s="79"/>
      <c r="P369" s="79"/>
      <c r="Q369" s="79"/>
      <c r="R369" s="79"/>
      <c r="S369" s="79"/>
      <c r="T369" s="79"/>
      <c r="U369" s="79"/>
      <c r="V369" s="79"/>
      <c r="W369" s="79"/>
      <c r="X369" s="79"/>
      <c r="Y369" s="79"/>
      <c r="Z369" s="79"/>
      <c r="AA369" s="79"/>
      <c r="AB369" s="79"/>
      <c r="AC369" s="79"/>
    </row>
    <row r="370" spans="10:29" x14ac:dyDescent="0.35">
      <c r="J370" s="79"/>
      <c r="K370" s="79"/>
      <c r="L370" s="79"/>
      <c r="M370" s="79"/>
      <c r="N370" s="79"/>
      <c r="O370" s="79"/>
      <c r="P370" s="79"/>
      <c r="Q370" s="79"/>
      <c r="R370" s="79"/>
      <c r="S370" s="79"/>
      <c r="T370" s="79"/>
      <c r="U370" s="79"/>
      <c r="V370" s="79"/>
      <c r="W370" s="79"/>
      <c r="X370" s="79"/>
      <c r="Y370" s="79"/>
      <c r="Z370" s="79"/>
      <c r="AA370" s="79"/>
      <c r="AB370" s="79"/>
      <c r="AC370" s="79"/>
    </row>
    <row r="371" spans="10:29" x14ac:dyDescent="0.35">
      <c r="J371" s="79"/>
      <c r="K371" s="79"/>
      <c r="L371" s="79"/>
      <c r="M371" s="79"/>
      <c r="N371" s="79"/>
      <c r="O371" s="79"/>
      <c r="P371" s="79"/>
      <c r="Q371" s="79"/>
      <c r="R371" s="79"/>
      <c r="S371" s="79"/>
      <c r="T371" s="79"/>
      <c r="U371" s="79"/>
      <c r="V371" s="79"/>
      <c r="W371" s="79"/>
      <c r="X371" s="79"/>
      <c r="Y371" s="79"/>
      <c r="Z371" s="79"/>
      <c r="AA371" s="79"/>
      <c r="AB371" s="79"/>
      <c r="AC371" s="79"/>
    </row>
    <row r="372" spans="10:29" x14ac:dyDescent="0.35">
      <c r="J372" s="79"/>
      <c r="K372" s="79"/>
      <c r="L372" s="79"/>
      <c r="M372" s="79"/>
      <c r="N372" s="79"/>
      <c r="O372" s="79"/>
      <c r="P372" s="79"/>
      <c r="Q372" s="79"/>
      <c r="R372" s="79"/>
      <c r="S372" s="79"/>
      <c r="T372" s="79"/>
      <c r="U372" s="79"/>
      <c r="V372" s="79"/>
      <c r="W372" s="79"/>
      <c r="X372" s="79"/>
      <c r="Y372" s="79"/>
      <c r="Z372" s="79"/>
      <c r="AA372" s="79"/>
      <c r="AB372" s="79"/>
      <c r="AC372" s="79"/>
    </row>
    <row r="373" spans="10:29" x14ac:dyDescent="0.35">
      <c r="J373" s="79"/>
      <c r="K373" s="79"/>
      <c r="L373" s="79"/>
      <c r="M373" s="79"/>
      <c r="N373" s="79"/>
      <c r="O373" s="79"/>
      <c r="P373" s="79"/>
      <c r="Q373" s="79"/>
      <c r="R373" s="79"/>
      <c r="S373" s="79"/>
      <c r="T373" s="79"/>
      <c r="U373" s="79"/>
      <c r="V373" s="79"/>
      <c r="W373" s="79"/>
      <c r="X373" s="79"/>
      <c r="Y373" s="79"/>
      <c r="Z373" s="79"/>
      <c r="AA373" s="79"/>
      <c r="AB373" s="79"/>
      <c r="AC373" s="79"/>
    </row>
    <row r="374" spans="10:29" x14ac:dyDescent="0.35">
      <c r="J374" s="79"/>
      <c r="K374" s="79"/>
      <c r="L374" s="79"/>
      <c r="M374" s="79"/>
      <c r="N374" s="79"/>
      <c r="O374" s="79"/>
      <c r="P374" s="79"/>
      <c r="Q374" s="79"/>
      <c r="R374" s="79"/>
      <c r="S374" s="79"/>
      <c r="T374" s="79"/>
      <c r="U374" s="79"/>
      <c r="V374" s="79"/>
      <c r="W374" s="79"/>
      <c r="X374" s="79"/>
      <c r="Y374" s="79"/>
      <c r="Z374" s="79"/>
      <c r="AA374" s="79"/>
      <c r="AB374" s="79"/>
      <c r="AC374" s="79"/>
    </row>
    <row r="375" spans="10:29" x14ac:dyDescent="0.35">
      <c r="J375" s="79"/>
      <c r="K375" s="79"/>
      <c r="L375" s="79"/>
      <c r="M375" s="79"/>
      <c r="N375" s="79"/>
      <c r="O375" s="79"/>
      <c r="P375" s="79"/>
      <c r="Q375" s="79"/>
      <c r="R375" s="79"/>
      <c r="S375" s="79"/>
      <c r="T375" s="79"/>
      <c r="U375" s="79"/>
      <c r="V375" s="79"/>
      <c r="W375" s="79"/>
      <c r="X375" s="79"/>
      <c r="Y375" s="79"/>
      <c r="Z375" s="79"/>
      <c r="AA375" s="79"/>
      <c r="AB375" s="79"/>
      <c r="AC375" s="79"/>
    </row>
    <row r="376" spans="10:29" x14ac:dyDescent="0.35">
      <c r="J376" s="79"/>
      <c r="K376" s="79"/>
      <c r="L376" s="79"/>
      <c r="M376" s="79"/>
      <c r="N376" s="79"/>
      <c r="O376" s="79"/>
      <c r="P376" s="79"/>
      <c r="Q376" s="79"/>
      <c r="R376" s="79"/>
      <c r="S376" s="79"/>
      <c r="T376" s="79"/>
      <c r="U376" s="79"/>
      <c r="V376" s="79"/>
      <c r="W376" s="79"/>
      <c r="X376" s="79"/>
      <c r="Y376" s="79"/>
      <c r="Z376" s="79"/>
      <c r="AA376" s="79"/>
      <c r="AB376" s="79"/>
      <c r="AC376" s="79"/>
    </row>
    <row r="377" spans="10:29" x14ac:dyDescent="0.35">
      <c r="J377" s="79"/>
      <c r="K377" s="79"/>
      <c r="L377" s="79"/>
      <c r="M377" s="79"/>
      <c r="N377" s="79"/>
      <c r="O377" s="79"/>
      <c r="P377" s="79"/>
      <c r="Q377" s="79"/>
      <c r="R377" s="79"/>
      <c r="S377" s="79"/>
      <c r="T377" s="79"/>
      <c r="U377" s="79"/>
      <c r="V377" s="79"/>
      <c r="W377" s="79"/>
      <c r="X377" s="79"/>
      <c r="Y377" s="79"/>
      <c r="Z377" s="79"/>
      <c r="AA377" s="79"/>
      <c r="AB377" s="79"/>
      <c r="AC377" s="79"/>
    </row>
    <row r="378" spans="10:29" x14ac:dyDescent="0.35">
      <c r="J378" s="79"/>
      <c r="K378" s="79"/>
      <c r="L378" s="79"/>
      <c r="M378" s="79"/>
      <c r="N378" s="79"/>
      <c r="O378" s="79"/>
      <c r="P378" s="79"/>
      <c r="Q378" s="79"/>
      <c r="R378" s="79"/>
      <c r="S378" s="79"/>
      <c r="T378" s="79"/>
      <c r="U378" s="79"/>
      <c r="V378" s="79"/>
      <c r="W378" s="79"/>
      <c r="X378" s="79"/>
      <c r="Y378" s="79"/>
      <c r="Z378" s="79"/>
      <c r="AA378" s="79"/>
      <c r="AB378" s="79"/>
      <c r="AC378" s="79"/>
    </row>
    <row r="379" spans="10:29" x14ac:dyDescent="0.35">
      <c r="J379" s="79"/>
      <c r="K379" s="79"/>
      <c r="L379" s="79"/>
      <c r="M379" s="79"/>
      <c r="N379" s="79"/>
      <c r="O379" s="79"/>
      <c r="P379" s="79"/>
      <c r="Q379" s="79"/>
      <c r="R379" s="79"/>
      <c r="S379" s="79"/>
      <c r="T379" s="79"/>
      <c r="U379" s="79"/>
      <c r="V379" s="79"/>
      <c r="W379" s="79"/>
      <c r="X379" s="79"/>
      <c r="Y379" s="79"/>
      <c r="Z379" s="79"/>
      <c r="AA379" s="79"/>
      <c r="AB379" s="79"/>
      <c r="AC379" s="79"/>
    </row>
    <row r="380" spans="10:29" x14ac:dyDescent="0.35">
      <c r="J380" s="79"/>
      <c r="K380" s="79"/>
      <c r="L380" s="79"/>
      <c r="M380" s="79"/>
      <c r="N380" s="79"/>
      <c r="O380" s="79"/>
      <c r="P380" s="79"/>
      <c r="Q380" s="79"/>
      <c r="R380" s="79"/>
      <c r="S380" s="79"/>
      <c r="T380" s="79"/>
      <c r="U380" s="79"/>
      <c r="V380" s="79"/>
      <c r="W380" s="79"/>
      <c r="X380" s="79"/>
      <c r="Y380" s="79"/>
      <c r="Z380" s="79"/>
      <c r="AA380" s="79"/>
      <c r="AB380" s="79"/>
      <c r="AC380" s="79"/>
    </row>
    <row r="381" spans="10:29" x14ac:dyDescent="0.35">
      <c r="J381" s="79"/>
      <c r="K381" s="79"/>
      <c r="L381" s="79"/>
      <c r="M381" s="79"/>
      <c r="N381" s="79"/>
      <c r="O381" s="79"/>
      <c r="P381" s="79"/>
      <c r="Q381" s="79"/>
      <c r="R381" s="79"/>
      <c r="S381" s="79"/>
      <c r="T381" s="79"/>
      <c r="U381" s="79"/>
      <c r="V381" s="79"/>
      <c r="W381" s="79"/>
      <c r="X381" s="79"/>
      <c r="Y381" s="79"/>
      <c r="Z381" s="79"/>
      <c r="AA381" s="79"/>
      <c r="AB381" s="79"/>
      <c r="AC381" s="79"/>
    </row>
    <row r="382" spans="10:29" x14ac:dyDescent="0.35">
      <c r="J382" s="79"/>
      <c r="K382" s="79"/>
      <c r="L382" s="79"/>
      <c r="M382" s="79"/>
      <c r="N382" s="79"/>
      <c r="O382" s="79"/>
      <c r="P382" s="79"/>
      <c r="Q382" s="79"/>
      <c r="R382" s="79"/>
      <c r="S382" s="79"/>
      <c r="T382" s="79"/>
      <c r="U382" s="79"/>
      <c r="V382" s="79"/>
      <c r="W382" s="79"/>
      <c r="X382" s="79"/>
      <c r="Y382" s="79"/>
      <c r="Z382" s="79"/>
      <c r="AA382" s="79"/>
      <c r="AB382" s="79"/>
      <c r="AC382" s="79"/>
    </row>
    <row r="383" spans="10:29" x14ac:dyDescent="0.35">
      <c r="J383" s="79"/>
      <c r="K383" s="79"/>
      <c r="L383" s="79"/>
      <c r="M383" s="79"/>
      <c r="N383" s="79"/>
      <c r="O383" s="79"/>
      <c r="P383" s="79"/>
      <c r="Q383" s="79"/>
      <c r="R383" s="79"/>
      <c r="S383" s="79"/>
      <c r="T383" s="79"/>
      <c r="U383" s="79"/>
      <c r="V383" s="79"/>
      <c r="W383" s="79"/>
      <c r="X383" s="79"/>
      <c r="Y383" s="79"/>
      <c r="Z383" s="79"/>
      <c r="AA383" s="79"/>
      <c r="AB383" s="79"/>
      <c r="AC383" s="79"/>
    </row>
    <row r="384" spans="10:29" x14ac:dyDescent="0.35">
      <c r="J384" s="79"/>
      <c r="K384" s="79"/>
      <c r="L384" s="79"/>
      <c r="M384" s="79"/>
      <c r="N384" s="79"/>
      <c r="O384" s="79"/>
      <c r="P384" s="79"/>
      <c r="Q384" s="79"/>
      <c r="R384" s="79"/>
      <c r="S384" s="79"/>
      <c r="T384" s="79"/>
      <c r="U384" s="79"/>
      <c r="V384" s="79"/>
      <c r="W384" s="79"/>
      <c r="X384" s="79"/>
      <c r="Y384" s="79"/>
      <c r="Z384" s="79"/>
      <c r="AA384" s="79"/>
      <c r="AB384" s="79"/>
      <c r="AC384" s="79"/>
    </row>
    <row r="385" spans="10:29" x14ac:dyDescent="0.35">
      <c r="J385" s="79"/>
      <c r="K385" s="79"/>
      <c r="L385" s="79"/>
      <c r="M385" s="79"/>
      <c r="N385" s="79"/>
      <c r="O385" s="79"/>
      <c r="P385" s="79"/>
      <c r="Q385" s="79"/>
      <c r="R385" s="79"/>
      <c r="S385" s="79"/>
      <c r="T385" s="79"/>
      <c r="U385" s="79"/>
      <c r="V385" s="79"/>
      <c r="W385" s="79"/>
      <c r="X385" s="79"/>
      <c r="Y385" s="79"/>
      <c r="Z385" s="79"/>
      <c r="AA385" s="79"/>
      <c r="AB385" s="79"/>
      <c r="AC385" s="79"/>
    </row>
    <row r="386" spans="10:29" x14ac:dyDescent="0.35">
      <c r="J386" s="79"/>
      <c r="K386" s="79"/>
      <c r="L386" s="79"/>
      <c r="M386" s="79"/>
      <c r="N386" s="79"/>
      <c r="O386" s="79"/>
      <c r="P386" s="79"/>
      <c r="Q386" s="79"/>
      <c r="R386" s="79"/>
      <c r="S386" s="79"/>
      <c r="T386" s="79"/>
      <c r="U386" s="79"/>
      <c r="V386" s="79"/>
      <c r="W386" s="79"/>
      <c r="X386" s="79"/>
      <c r="Y386" s="79"/>
      <c r="Z386" s="79"/>
      <c r="AA386" s="79"/>
      <c r="AB386" s="79"/>
      <c r="AC386" s="79"/>
    </row>
    <row r="387" spans="10:29" x14ac:dyDescent="0.35">
      <c r="J387" s="79"/>
      <c r="K387" s="79"/>
      <c r="L387" s="79"/>
      <c r="M387" s="79"/>
      <c r="N387" s="79"/>
      <c r="O387" s="79"/>
      <c r="P387" s="79"/>
      <c r="Q387" s="79"/>
      <c r="R387" s="79"/>
      <c r="S387" s="79"/>
      <c r="T387" s="79"/>
      <c r="U387" s="79"/>
      <c r="V387" s="79"/>
      <c r="W387" s="79"/>
      <c r="X387" s="79"/>
      <c r="Y387" s="79"/>
      <c r="Z387" s="79"/>
      <c r="AA387" s="79"/>
      <c r="AB387" s="79"/>
      <c r="AC387" s="79"/>
    </row>
    <row r="388" spans="10:29" x14ac:dyDescent="0.35">
      <c r="J388" s="79"/>
      <c r="K388" s="79"/>
      <c r="L388" s="79"/>
      <c r="M388" s="79"/>
      <c r="N388" s="79"/>
      <c r="O388" s="79"/>
      <c r="P388" s="79"/>
      <c r="Q388" s="79"/>
      <c r="R388" s="79"/>
      <c r="S388" s="79"/>
      <c r="T388" s="79"/>
      <c r="U388" s="79"/>
      <c r="V388" s="79"/>
      <c r="W388" s="79"/>
      <c r="X388" s="79"/>
      <c r="Y388" s="79"/>
      <c r="Z388" s="79"/>
      <c r="AA388" s="79"/>
      <c r="AB388" s="79"/>
      <c r="AC388" s="79"/>
    </row>
    <row r="389" spans="10:29" x14ac:dyDescent="0.35">
      <c r="J389" s="79"/>
      <c r="K389" s="79"/>
      <c r="L389" s="79"/>
      <c r="M389" s="79"/>
      <c r="N389" s="79"/>
      <c r="O389" s="79"/>
      <c r="P389" s="79"/>
      <c r="Q389" s="79"/>
      <c r="R389" s="79"/>
      <c r="S389" s="79"/>
      <c r="T389" s="79"/>
      <c r="U389" s="79"/>
      <c r="V389" s="79"/>
      <c r="W389" s="79"/>
      <c r="X389" s="79"/>
      <c r="Y389" s="79"/>
      <c r="Z389" s="79"/>
      <c r="AA389" s="79"/>
      <c r="AB389" s="79"/>
      <c r="AC389" s="79"/>
    </row>
    <row r="390" spans="10:29" x14ac:dyDescent="0.35">
      <c r="J390" s="79"/>
      <c r="K390" s="79"/>
      <c r="L390" s="79"/>
      <c r="M390" s="79"/>
      <c r="N390" s="79"/>
      <c r="O390" s="79"/>
      <c r="P390" s="79"/>
      <c r="Q390" s="79"/>
      <c r="R390" s="79"/>
      <c r="S390" s="79"/>
      <c r="T390" s="79"/>
      <c r="U390" s="79"/>
      <c r="V390" s="79"/>
      <c r="W390" s="79"/>
      <c r="X390" s="79"/>
      <c r="Y390" s="79"/>
      <c r="Z390" s="79"/>
      <c r="AA390" s="79"/>
      <c r="AB390" s="79"/>
      <c r="AC390" s="79"/>
    </row>
    <row r="391" spans="10:29" x14ac:dyDescent="0.35">
      <c r="J391" s="79"/>
      <c r="K391" s="79"/>
      <c r="L391" s="79"/>
      <c r="M391" s="79"/>
      <c r="N391" s="79"/>
      <c r="O391" s="79"/>
      <c r="P391" s="79"/>
      <c r="Q391" s="79"/>
      <c r="R391" s="79"/>
      <c r="S391" s="79"/>
      <c r="T391" s="79"/>
      <c r="U391" s="79"/>
      <c r="V391" s="79"/>
      <c r="W391" s="79"/>
      <c r="X391" s="79"/>
      <c r="Y391" s="79"/>
      <c r="Z391" s="79"/>
      <c r="AA391" s="79"/>
      <c r="AB391" s="79"/>
      <c r="AC391" s="79"/>
    </row>
    <row r="392" spans="10:29" x14ac:dyDescent="0.35">
      <c r="J392" s="79"/>
      <c r="K392" s="79"/>
      <c r="L392" s="79"/>
      <c r="M392" s="79"/>
      <c r="N392" s="79"/>
      <c r="O392" s="79"/>
      <c r="P392" s="79"/>
      <c r="Q392" s="79"/>
      <c r="R392" s="79"/>
      <c r="S392" s="79"/>
      <c r="T392" s="79"/>
      <c r="U392" s="79"/>
      <c r="V392" s="79"/>
      <c r="W392" s="79"/>
      <c r="X392" s="79"/>
      <c r="Y392" s="79"/>
      <c r="Z392" s="79"/>
      <c r="AA392" s="79"/>
      <c r="AB392" s="79"/>
      <c r="AC392" s="79"/>
    </row>
    <row r="393" spans="10:29" x14ac:dyDescent="0.35">
      <c r="J393" s="79"/>
      <c r="K393" s="79"/>
      <c r="L393" s="79"/>
      <c r="M393" s="79"/>
      <c r="N393" s="79"/>
      <c r="O393" s="79"/>
      <c r="P393" s="79"/>
      <c r="Q393" s="79"/>
      <c r="R393" s="79"/>
      <c r="S393" s="79"/>
      <c r="T393" s="79"/>
      <c r="U393" s="79"/>
      <c r="V393" s="79"/>
      <c r="W393" s="79"/>
      <c r="X393" s="79"/>
      <c r="Y393" s="79"/>
      <c r="Z393" s="79"/>
      <c r="AA393" s="79"/>
      <c r="AB393" s="79"/>
      <c r="AC393" s="79"/>
    </row>
    <row r="394" spans="10:29" x14ac:dyDescent="0.35">
      <c r="J394" s="79"/>
      <c r="K394" s="79"/>
      <c r="L394" s="79"/>
      <c r="M394" s="79"/>
      <c r="N394" s="79"/>
      <c r="O394" s="79"/>
      <c r="P394" s="79"/>
      <c r="Q394" s="79"/>
      <c r="R394" s="79"/>
      <c r="S394" s="79"/>
      <c r="T394" s="79"/>
      <c r="U394" s="79"/>
      <c r="V394" s="79"/>
      <c r="W394" s="79"/>
      <c r="X394" s="79"/>
      <c r="Y394" s="79"/>
      <c r="Z394" s="79"/>
      <c r="AA394" s="79"/>
      <c r="AB394" s="79"/>
      <c r="AC394" s="79"/>
    </row>
    <row r="395" spans="10:29" x14ac:dyDescent="0.35">
      <c r="J395" s="79"/>
      <c r="K395" s="79"/>
      <c r="L395" s="79"/>
      <c r="M395" s="79"/>
      <c r="N395" s="79"/>
      <c r="O395" s="79"/>
      <c r="P395" s="79"/>
      <c r="Q395" s="79"/>
      <c r="R395" s="79"/>
      <c r="S395" s="79"/>
      <c r="T395" s="79"/>
      <c r="U395" s="79"/>
      <c r="V395" s="79"/>
      <c r="W395" s="79"/>
      <c r="X395" s="79"/>
      <c r="Y395" s="79"/>
      <c r="Z395" s="79"/>
      <c r="AA395" s="79"/>
      <c r="AB395" s="79"/>
      <c r="AC395" s="79"/>
    </row>
    <row r="396" spans="10:29" x14ac:dyDescent="0.35">
      <c r="J396" s="79"/>
      <c r="K396" s="79"/>
      <c r="L396" s="79"/>
      <c r="M396" s="79"/>
      <c r="N396" s="79"/>
      <c r="O396" s="79"/>
      <c r="P396" s="79"/>
      <c r="Q396" s="79"/>
      <c r="R396" s="79"/>
      <c r="S396" s="79"/>
      <c r="T396" s="79"/>
      <c r="U396" s="79"/>
      <c r="V396" s="79"/>
      <c r="W396" s="79"/>
      <c r="X396" s="79"/>
      <c r="Y396" s="79"/>
      <c r="Z396" s="79"/>
      <c r="AA396" s="79"/>
      <c r="AB396" s="79"/>
      <c r="AC396" s="79"/>
    </row>
    <row r="397" spans="10:29" x14ac:dyDescent="0.35">
      <c r="J397" s="79"/>
      <c r="K397" s="79"/>
      <c r="L397" s="79"/>
      <c r="M397" s="79"/>
      <c r="N397" s="79"/>
      <c r="O397" s="79"/>
      <c r="P397" s="79"/>
      <c r="Q397" s="79"/>
      <c r="R397" s="79"/>
      <c r="S397" s="79"/>
      <c r="T397" s="79"/>
      <c r="U397" s="79"/>
      <c r="V397" s="79"/>
      <c r="W397" s="79"/>
      <c r="X397" s="79"/>
      <c r="Y397" s="79"/>
      <c r="Z397" s="79"/>
      <c r="AA397" s="79"/>
      <c r="AB397" s="79"/>
      <c r="AC397" s="79"/>
    </row>
    <row r="398" spans="10:29" x14ac:dyDescent="0.35">
      <c r="J398" s="79"/>
      <c r="K398" s="79"/>
      <c r="L398" s="79"/>
      <c r="M398" s="79"/>
      <c r="N398" s="79"/>
      <c r="O398" s="79"/>
      <c r="P398" s="79"/>
      <c r="Q398" s="79"/>
      <c r="R398" s="79"/>
      <c r="S398" s="79"/>
      <c r="T398" s="79"/>
      <c r="U398" s="79"/>
      <c r="V398" s="79"/>
      <c r="W398" s="79"/>
      <c r="X398" s="79"/>
      <c r="Y398" s="79"/>
      <c r="Z398" s="79"/>
      <c r="AA398" s="79"/>
      <c r="AB398" s="79"/>
      <c r="AC398" s="79"/>
    </row>
    <row r="399" spans="10:29" x14ac:dyDescent="0.35">
      <c r="J399" s="79"/>
      <c r="K399" s="79"/>
      <c r="L399" s="79"/>
      <c r="M399" s="79"/>
      <c r="N399" s="79"/>
      <c r="O399" s="79"/>
      <c r="P399" s="79"/>
      <c r="Q399" s="79"/>
      <c r="R399" s="79"/>
      <c r="S399" s="79"/>
      <c r="T399" s="79"/>
      <c r="U399" s="79"/>
      <c r="V399" s="79"/>
      <c r="W399" s="79"/>
      <c r="X399" s="79"/>
      <c r="Y399" s="79"/>
      <c r="Z399" s="79"/>
      <c r="AA399" s="79"/>
      <c r="AB399" s="79"/>
      <c r="AC399" s="79"/>
    </row>
    <row r="400" spans="10:29" x14ac:dyDescent="0.35">
      <c r="J400" s="79"/>
      <c r="K400" s="79"/>
      <c r="L400" s="79"/>
      <c r="M400" s="79"/>
      <c r="N400" s="79"/>
      <c r="O400" s="79"/>
      <c r="P400" s="79"/>
      <c r="Q400" s="79"/>
      <c r="R400" s="79"/>
      <c r="S400" s="79"/>
      <c r="T400" s="79"/>
      <c r="U400" s="79"/>
      <c r="V400" s="79"/>
      <c r="W400" s="79"/>
      <c r="X400" s="79"/>
      <c r="Y400" s="79"/>
      <c r="Z400" s="79"/>
      <c r="AA400" s="79"/>
      <c r="AB400" s="79"/>
      <c r="AC400" s="79"/>
    </row>
    <row r="401" spans="10:29" x14ac:dyDescent="0.35">
      <c r="J401" s="79"/>
      <c r="K401" s="79"/>
      <c r="L401" s="79"/>
      <c r="M401" s="79"/>
      <c r="N401" s="79"/>
      <c r="O401" s="79"/>
      <c r="P401" s="79"/>
      <c r="Q401" s="79"/>
      <c r="R401" s="79"/>
      <c r="S401" s="79"/>
      <c r="T401" s="79"/>
      <c r="U401" s="79"/>
      <c r="V401" s="79"/>
      <c r="W401" s="79"/>
      <c r="X401" s="79"/>
      <c r="Y401" s="79"/>
      <c r="Z401" s="79"/>
      <c r="AA401" s="79"/>
      <c r="AB401" s="79"/>
      <c r="AC401" s="79"/>
    </row>
    <row r="402" spans="10:29" x14ac:dyDescent="0.35">
      <c r="J402" s="79"/>
      <c r="K402" s="79"/>
      <c r="L402" s="79"/>
      <c r="M402" s="79"/>
      <c r="N402" s="79"/>
      <c r="O402" s="79"/>
      <c r="P402" s="79"/>
      <c r="Q402" s="79"/>
      <c r="R402" s="79"/>
      <c r="S402" s="79"/>
      <c r="T402" s="79"/>
      <c r="U402" s="79"/>
      <c r="V402" s="79"/>
      <c r="W402" s="79"/>
      <c r="X402" s="79"/>
      <c r="Y402" s="79"/>
      <c r="Z402" s="79"/>
      <c r="AA402" s="79"/>
      <c r="AB402" s="79"/>
      <c r="AC402" s="79"/>
    </row>
    <row r="403" spans="10:29" x14ac:dyDescent="0.35">
      <c r="J403" s="79"/>
      <c r="K403" s="79"/>
      <c r="L403" s="79"/>
      <c r="M403" s="79"/>
      <c r="N403" s="79"/>
      <c r="O403" s="79"/>
      <c r="P403" s="79"/>
      <c r="Q403" s="79"/>
      <c r="R403" s="79"/>
      <c r="S403" s="79"/>
      <c r="T403" s="79"/>
      <c r="U403" s="79"/>
      <c r="V403" s="79"/>
      <c r="W403" s="79"/>
      <c r="X403" s="79"/>
      <c r="Y403" s="79"/>
      <c r="Z403" s="79"/>
      <c r="AA403" s="79"/>
      <c r="AB403" s="79"/>
      <c r="AC403" s="79"/>
    </row>
    <row r="404" spans="10:29" x14ac:dyDescent="0.35">
      <c r="J404" s="79"/>
      <c r="K404" s="79"/>
      <c r="L404" s="79"/>
      <c r="M404" s="79"/>
      <c r="N404" s="79"/>
      <c r="O404" s="79"/>
      <c r="P404" s="79"/>
      <c r="Q404" s="79"/>
      <c r="R404" s="79"/>
      <c r="S404" s="79"/>
      <c r="T404" s="79"/>
      <c r="U404" s="79"/>
      <c r="V404" s="79"/>
      <c r="W404" s="79"/>
      <c r="X404" s="79"/>
      <c r="Y404" s="79"/>
      <c r="Z404" s="79"/>
      <c r="AA404" s="79"/>
      <c r="AB404" s="79"/>
      <c r="AC404" s="79"/>
    </row>
    <row r="405" spans="10:29" x14ac:dyDescent="0.35">
      <c r="J405" s="79"/>
      <c r="K405" s="79"/>
      <c r="L405" s="79"/>
      <c r="M405" s="79"/>
      <c r="N405" s="79"/>
      <c r="O405" s="79"/>
      <c r="P405" s="79"/>
      <c r="Q405" s="79"/>
      <c r="R405" s="79"/>
      <c r="S405" s="79"/>
      <c r="T405" s="79"/>
      <c r="U405" s="79"/>
      <c r="V405" s="79"/>
      <c r="W405" s="79"/>
      <c r="X405" s="79"/>
      <c r="Y405" s="79"/>
      <c r="Z405" s="79"/>
      <c r="AA405" s="79"/>
      <c r="AB405" s="79"/>
      <c r="AC405" s="79"/>
    </row>
    <row r="406" spans="10:29" x14ac:dyDescent="0.35">
      <c r="J406" s="79"/>
      <c r="K406" s="79"/>
      <c r="L406" s="79"/>
      <c r="M406" s="79"/>
      <c r="N406" s="79"/>
      <c r="O406" s="79"/>
      <c r="P406" s="79"/>
      <c r="Q406" s="79"/>
      <c r="R406" s="79"/>
      <c r="S406" s="79"/>
      <c r="T406" s="79"/>
      <c r="U406" s="79"/>
      <c r="V406" s="79"/>
      <c r="W406" s="79"/>
      <c r="X406" s="79"/>
      <c r="Y406" s="79"/>
      <c r="Z406" s="79"/>
      <c r="AA406" s="79"/>
      <c r="AB406" s="79"/>
      <c r="AC406" s="79"/>
    </row>
    <row r="407" spans="10:29" x14ac:dyDescent="0.35">
      <c r="J407" s="79"/>
      <c r="K407" s="79"/>
      <c r="L407" s="79"/>
      <c r="M407" s="79"/>
      <c r="N407" s="79"/>
      <c r="O407" s="79"/>
      <c r="P407" s="79"/>
      <c r="Q407" s="79"/>
      <c r="R407" s="79"/>
      <c r="S407" s="79"/>
      <c r="T407" s="79"/>
      <c r="U407" s="79"/>
      <c r="V407" s="79"/>
      <c r="W407" s="79"/>
      <c r="X407" s="79"/>
      <c r="Y407" s="79"/>
      <c r="Z407" s="79"/>
      <c r="AA407" s="79"/>
      <c r="AB407" s="79"/>
      <c r="AC407" s="79"/>
    </row>
    <row r="408" spans="10:29" x14ac:dyDescent="0.35">
      <c r="J408" s="79"/>
      <c r="K408" s="79"/>
      <c r="L408" s="79"/>
      <c r="M408" s="79"/>
      <c r="N408" s="79"/>
      <c r="O408" s="79"/>
      <c r="P408" s="79"/>
      <c r="Q408" s="79"/>
      <c r="R408" s="79"/>
      <c r="S408" s="79"/>
      <c r="T408" s="79"/>
      <c r="U408" s="79"/>
      <c r="V408" s="79"/>
      <c r="W408" s="79"/>
      <c r="X408" s="79"/>
      <c r="Y408" s="79"/>
      <c r="Z408" s="79"/>
      <c r="AA408" s="79"/>
      <c r="AB408" s="79"/>
      <c r="AC408" s="79"/>
    </row>
    <row r="409" spans="10:29" x14ac:dyDescent="0.35">
      <c r="J409" s="79"/>
      <c r="K409" s="79"/>
      <c r="L409" s="79"/>
      <c r="M409" s="79"/>
      <c r="N409" s="79"/>
      <c r="O409" s="79"/>
      <c r="P409" s="79"/>
      <c r="Q409" s="79"/>
      <c r="R409" s="79"/>
      <c r="S409" s="79"/>
      <c r="T409" s="79"/>
      <c r="U409" s="79"/>
      <c r="V409" s="79"/>
      <c r="W409" s="79"/>
      <c r="X409" s="79"/>
      <c r="Y409" s="79"/>
      <c r="Z409" s="79"/>
      <c r="AA409" s="79"/>
      <c r="AB409" s="79"/>
      <c r="AC409" s="79"/>
    </row>
    <row r="410" spans="10:29" x14ac:dyDescent="0.35">
      <c r="J410" s="79"/>
      <c r="K410" s="79"/>
      <c r="L410" s="79"/>
      <c r="M410" s="79"/>
      <c r="N410" s="79"/>
      <c r="O410" s="79"/>
      <c r="P410" s="79"/>
      <c r="Q410" s="79"/>
      <c r="R410" s="79"/>
      <c r="S410" s="79"/>
      <c r="T410" s="79"/>
      <c r="U410" s="79"/>
      <c r="V410" s="79"/>
      <c r="W410" s="79"/>
      <c r="X410" s="79"/>
      <c r="Y410" s="79"/>
      <c r="Z410" s="79"/>
      <c r="AA410" s="79"/>
      <c r="AB410" s="79"/>
      <c r="AC410" s="79"/>
    </row>
    <row r="411" spans="10:29" x14ac:dyDescent="0.35">
      <c r="J411" s="79"/>
      <c r="K411" s="79"/>
      <c r="L411" s="79"/>
      <c r="M411" s="79"/>
      <c r="N411" s="79"/>
      <c r="O411" s="79"/>
      <c r="P411" s="79"/>
      <c r="Q411" s="79"/>
      <c r="R411" s="79"/>
      <c r="S411" s="79"/>
      <c r="T411" s="79"/>
      <c r="U411" s="79"/>
      <c r="V411" s="79"/>
      <c r="W411" s="79"/>
      <c r="X411" s="79"/>
      <c r="Y411" s="79"/>
      <c r="Z411" s="79"/>
      <c r="AA411" s="79"/>
      <c r="AB411" s="79"/>
      <c r="AC411" s="79"/>
    </row>
    <row r="412" spans="10:29" x14ac:dyDescent="0.35">
      <c r="J412" s="79"/>
      <c r="K412" s="79"/>
      <c r="L412" s="79"/>
      <c r="M412" s="79"/>
      <c r="N412" s="79"/>
      <c r="O412" s="79"/>
      <c r="P412" s="79"/>
      <c r="Q412" s="79"/>
      <c r="R412" s="79"/>
      <c r="S412" s="79"/>
      <c r="T412" s="79"/>
      <c r="U412" s="79"/>
      <c r="V412" s="79"/>
      <c r="W412" s="79"/>
      <c r="X412" s="79"/>
      <c r="Y412" s="79"/>
      <c r="Z412" s="79"/>
      <c r="AA412" s="79"/>
      <c r="AB412" s="79"/>
      <c r="AC412" s="79"/>
    </row>
    <row r="413" spans="10:29" x14ac:dyDescent="0.35">
      <c r="J413" s="79"/>
      <c r="K413" s="79"/>
      <c r="L413" s="79"/>
      <c r="M413" s="79"/>
      <c r="N413" s="79"/>
      <c r="O413" s="79"/>
      <c r="P413" s="79"/>
      <c r="Q413" s="79"/>
      <c r="R413" s="79"/>
      <c r="S413" s="79"/>
      <c r="T413" s="79"/>
      <c r="U413" s="79"/>
      <c r="V413" s="79"/>
      <c r="W413" s="79"/>
      <c r="X413" s="79"/>
      <c r="Y413" s="79"/>
      <c r="Z413" s="79"/>
      <c r="AA413" s="79"/>
      <c r="AB413" s="79"/>
      <c r="AC413" s="79"/>
    </row>
    <row r="414" spans="10:29" x14ac:dyDescent="0.35">
      <c r="J414" s="79"/>
      <c r="K414" s="79"/>
      <c r="L414" s="79"/>
      <c r="M414" s="79"/>
      <c r="N414" s="79"/>
      <c r="O414" s="79"/>
      <c r="P414" s="79"/>
      <c r="Q414" s="79"/>
      <c r="R414" s="79"/>
      <c r="S414" s="79"/>
      <c r="T414" s="79"/>
      <c r="U414" s="79"/>
      <c r="V414" s="79"/>
      <c r="W414" s="79"/>
      <c r="X414" s="79"/>
      <c r="Y414" s="79"/>
      <c r="Z414" s="79"/>
      <c r="AA414" s="79"/>
      <c r="AB414" s="79"/>
      <c r="AC414" s="79"/>
    </row>
    <row r="415" spans="10:29" x14ac:dyDescent="0.35">
      <c r="J415" s="79"/>
      <c r="K415" s="79"/>
      <c r="L415" s="79"/>
      <c r="M415" s="79"/>
      <c r="N415" s="79"/>
      <c r="O415" s="79"/>
      <c r="P415" s="79"/>
      <c r="Q415" s="79"/>
      <c r="R415" s="79"/>
      <c r="S415" s="79"/>
      <c r="T415" s="79"/>
      <c r="U415" s="79"/>
      <c r="V415" s="79"/>
      <c r="W415" s="79"/>
      <c r="X415" s="79"/>
      <c r="Y415" s="79"/>
      <c r="Z415" s="79"/>
      <c r="AA415" s="79"/>
      <c r="AB415" s="79"/>
      <c r="AC415" s="79"/>
    </row>
    <row r="416" spans="10:29" x14ac:dyDescent="0.35">
      <c r="J416" s="79"/>
      <c r="K416" s="79"/>
      <c r="L416" s="79"/>
      <c r="M416" s="79"/>
      <c r="N416" s="79"/>
      <c r="O416" s="79"/>
      <c r="P416" s="79"/>
      <c r="Q416" s="79"/>
      <c r="R416" s="79"/>
      <c r="S416" s="79"/>
      <c r="T416" s="79"/>
      <c r="U416" s="79"/>
      <c r="V416" s="79"/>
      <c r="W416" s="79"/>
      <c r="X416" s="79"/>
      <c r="Y416" s="79"/>
      <c r="Z416" s="79"/>
      <c r="AA416" s="79"/>
      <c r="AB416" s="79"/>
      <c r="AC416" s="79"/>
    </row>
    <row r="417" spans="10:29" x14ac:dyDescent="0.35">
      <c r="J417" s="79"/>
      <c r="K417" s="79"/>
      <c r="L417" s="79"/>
      <c r="M417" s="79"/>
      <c r="N417" s="79"/>
      <c r="O417" s="79"/>
      <c r="P417" s="79"/>
      <c r="Q417" s="79"/>
      <c r="R417" s="79"/>
      <c r="S417" s="79"/>
      <c r="T417" s="79"/>
      <c r="U417" s="79"/>
      <c r="V417" s="79"/>
      <c r="W417" s="79"/>
      <c r="X417" s="79"/>
      <c r="Y417" s="79"/>
      <c r="Z417" s="79"/>
      <c r="AA417" s="79"/>
      <c r="AB417" s="79"/>
      <c r="AC417" s="79"/>
    </row>
    <row r="418" spans="10:29" x14ac:dyDescent="0.35">
      <c r="J418" s="79"/>
      <c r="K418" s="79"/>
      <c r="L418" s="79"/>
      <c r="M418" s="79"/>
      <c r="N418" s="79"/>
      <c r="O418" s="79"/>
      <c r="P418" s="79"/>
      <c r="Q418" s="79"/>
      <c r="R418" s="79"/>
      <c r="S418" s="79"/>
      <c r="T418" s="79"/>
      <c r="U418" s="79"/>
      <c r="V418" s="79"/>
      <c r="W418" s="79"/>
      <c r="X418" s="79"/>
      <c r="Y418" s="79"/>
      <c r="Z418" s="79"/>
      <c r="AA418" s="79"/>
      <c r="AB418" s="79"/>
      <c r="AC418" s="79"/>
    </row>
    <row r="419" spans="10:29" x14ac:dyDescent="0.35">
      <c r="J419" s="79"/>
      <c r="K419" s="79"/>
      <c r="L419" s="79"/>
      <c r="M419" s="79"/>
      <c r="N419" s="79"/>
      <c r="O419" s="79"/>
      <c r="P419" s="79"/>
      <c r="Q419" s="79"/>
      <c r="R419" s="79"/>
      <c r="S419" s="79"/>
      <c r="T419" s="79"/>
      <c r="U419" s="79"/>
      <c r="V419" s="79"/>
      <c r="W419" s="79"/>
      <c r="X419" s="79"/>
      <c r="Y419" s="79"/>
      <c r="Z419" s="79"/>
      <c r="AA419" s="79"/>
      <c r="AB419" s="79"/>
      <c r="AC419" s="79"/>
    </row>
    <row r="420" spans="10:29" x14ac:dyDescent="0.35">
      <c r="J420" s="79"/>
      <c r="K420" s="79"/>
      <c r="L420" s="79"/>
      <c r="M420" s="79"/>
      <c r="N420" s="79"/>
      <c r="O420" s="79"/>
      <c r="P420" s="79"/>
      <c r="Q420" s="79"/>
      <c r="R420" s="79"/>
      <c r="S420" s="79"/>
      <c r="T420" s="79"/>
      <c r="U420" s="79"/>
      <c r="V420" s="79"/>
      <c r="W420" s="79"/>
      <c r="X420" s="79"/>
      <c r="Y420" s="79"/>
      <c r="Z420" s="79"/>
      <c r="AA420" s="79"/>
      <c r="AB420" s="79"/>
      <c r="AC420" s="79"/>
    </row>
    <row r="421" spans="10:29" x14ac:dyDescent="0.35">
      <c r="J421" s="79"/>
      <c r="K421" s="79"/>
      <c r="L421" s="79"/>
      <c r="M421" s="79"/>
      <c r="N421" s="79"/>
      <c r="O421" s="79"/>
      <c r="P421" s="79"/>
      <c r="Q421" s="79"/>
      <c r="R421" s="79"/>
      <c r="S421" s="79"/>
      <c r="T421" s="79"/>
      <c r="U421" s="79"/>
      <c r="V421" s="79"/>
      <c r="W421" s="79"/>
      <c r="X421" s="79"/>
      <c r="Y421" s="79"/>
      <c r="Z421" s="79"/>
      <c r="AA421" s="79"/>
      <c r="AB421" s="79"/>
      <c r="AC421" s="79"/>
    </row>
    <row r="422" spans="10:29" x14ac:dyDescent="0.35">
      <c r="J422" s="79"/>
      <c r="K422" s="79"/>
      <c r="L422" s="79"/>
      <c r="M422" s="79"/>
      <c r="N422" s="79"/>
      <c r="O422" s="79"/>
      <c r="P422" s="79"/>
      <c r="Q422" s="79"/>
      <c r="R422" s="79"/>
      <c r="S422" s="79"/>
      <c r="T422" s="79"/>
      <c r="U422" s="79"/>
      <c r="V422" s="79"/>
      <c r="W422" s="79"/>
      <c r="X422" s="79"/>
      <c r="Y422" s="79"/>
      <c r="Z422" s="79"/>
      <c r="AA422" s="79"/>
      <c r="AB422" s="79"/>
      <c r="AC422" s="79"/>
    </row>
    <row r="423" spans="10:29" x14ac:dyDescent="0.35">
      <c r="J423" s="79"/>
      <c r="K423" s="79"/>
      <c r="L423" s="79"/>
      <c r="M423" s="79"/>
      <c r="N423" s="79"/>
      <c r="O423" s="79"/>
      <c r="P423" s="79"/>
      <c r="Q423" s="79"/>
      <c r="R423" s="79"/>
      <c r="S423" s="79"/>
      <c r="T423" s="79"/>
      <c r="U423" s="79"/>
      <c r="V423" s="79"/>
      <c r="W423" s="79"/>
      <c r="X423" s="79"/>
      <c r="Y423" s="79"/>
      <c r="Z423" s="79"/>
      <c r="AA423" s="79"/>
      <c r="AB423" s="79"/>
      <c r="AC423" s="79"/>
    </row>
    <row r="424" spans="10:29" x14ac:dyDescent="0.35">
      <c r="J424" s="79"/>
      <c r="K424" s="79"/>
      <c r="L424" s="79"/>
      <c r="M424" s="79"/>
      <c r="N424" s="79"/>
      <c r="O424" s="79"/>
      <c r="P424" s="79"/>
      <c r="Q424" s="79"/>
      <c r="R424" s="79"/>
      <c r="S424" s="79"/>
      <c r="T424" s="79"/>
      <c r="U424" s="79"/>
      <c r="V424" s="79"/>
      <c r="W424" s="79"/>
      <c r="X424" s="79"/>
      <c r="Y424" s="79"/>
      <c r="Z424" s="79"/>
      <c r="AA424" s="79"/>
      <c r="AB424" s="79"/>
      <c r="AC424" s="79"/>
    </row>
    <row r="425" spans="10:29" x14ac:dyDescent="0.35">
      <c r="J425" s="79"/>
      <c r="K425" s="79"/>
      <c r="L425" s="79"/>
      <c r="M425" s="79"/>
      <c r="N425" s="79"/>
      <c r="O425" s="79"/>
      <c r="P425" s="79"/>
      <c r="Q425" s="79"/>
      <c r="R425" s="79"/>
      <c r="S425" s="79"/>
      <c r="T425" s="79"/>
      <c r="U425" s="79"/>
      <c r="V425" s="79"/>
      <c r="W425" s="79"/>
      <c r="X425" s="79"/>
      <c r="Y425" s="79"/>
      <c r="Z425" s="79"/>
      <c r="AA425" s="79"/>
      <c r="AB425" s="79"/>
      <c r="AC425" s="79"/>
    </row>
    <row r="426" spans="10:29" x14ac:dyDescent="0.35">
      <c r="J426" s="79"/>
      <c r="K426" s="79"/>
      <c r="L426" s="79"/>
      <c r="M426" s="79"/>
      <c r="N426" s="79"/>
      <c r="O426" s="79"/>
      <c r="P426" s="79"/>
      <c r="Q426" s="79"/>
      <c r="R426" s="79"/>
      <c r="S426" s="79"/>
      <c r="T426" s="79"/>
      <c r="U426" s="79"/>
      <c r="V426" s="79"/>
      <c r="W426" s="79"/>
      <c r="X426" s="79"/>
      <c r="Y426" s="79"/>
      <c r="Z426" s="79"/>
      <c r="AA426" s="79"/>
      <c r="AB426" s="79"/>
      <c r="AC426" s="79"/>
    </row>
    <row r="427" spans="10:29" x14ac:dyDescent="0.35">
      <c r="J427" s="79"/>
      <c r="K427" s="79"/>
      <c r="L427" s="79"/>
      <c r="M427" s="79"/>
      <c r="N427" s="79"/>
      <c r="O427" s="79"/>
      <c r="P427" s="79"/>
      <c r="Q427" s="79"/>
      <c r="R427" s="79"/>
      <c r="S427" s="79"/>
      <c r="T427" s="79"/>
      <c r="U427" s="79"/>
      <c r="V427" s="79"/>
      <c r="W427" s="79"/>
      <c r="X427" s="79"/>
      <c r="Y427" s="79"/>
      <c r="Z427" s="79"/>
      <c r="AA427" s="79"/>
      <c r="AB427" s="79"/>
      <c r="AC427" s="79"/>
    </row>
    <row r="428" spans="10:29" x14ac:dyDescent="0.35">
      <c r="J428" s="79"/>
      <c r="K428" s="79"/>
      <c r="L428" s="79"/>
      <c r="M428" s="79"/>
      <c r="N428" s="79"/>
      <c r="O428" s="79"/>
      <c r="P428" s="79"/>
      <c r="Q428" s="79"/>
      <c r="R428" s="79"/>
      <c r="S428" s="79"/>
      <c r="T428" s="79"/>
      <c r="U428" s="79"/>
      <c r="V428" s="79"/>
      <c r="W428" s="79"/>
      <c r="X428" s="79"/>
      <c r="Y428" s="79"/>
      <c r="Z428" s="79"/>
      <c r="AA428" s="79"/>
      <c r="AB428" s="79"/>
      <c r="AC428" s="79"/>
    </row>
    <row r="429" spans="10:29" x14ac:dyDescent="0.35">
      <c r="J429" s="79"/>
      <c r="K429" s="79"/>
      <c r="L429" s="79"/>
      <c r="M429" s="79"/>
      <c r="N429" s="79"/>
      <c r="O429" s="79"/>
      <c r="P429" s="79"/>
      <c r="Q429" s="79"/>
      <c r="R429" s="79"/>
      <c r="S429" s="79"/>
      <c r="T429" s="79"/>
      <c r="U429" s="79"/>
      <c r="V429" s="79"/>
      <c r="W429" s="79"/>
      <c r="X429" s="79"/>
      <c r="Y429" s="79"/>
      <c r="Z429" s="79"/>
      <c r="AA429" s="79"/>
      <c r="AB429" s="79"/>
      <c r="AC429" s="79"/>
    </row>
  </sheetData>
  <sheetProtection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20EC-90A2-407B-9611-E65A5BDA8B69}">
  <sheetPr>
    <tabColor rgb="FFA3C5BF"/>
  </sheetPr>
  <dimension ref="A3:AA35"/>
  <sheetViews>
    <sheetView showGridLines="0" tabSelected="1" zoomScale="85" zoomScaleNormal="85" workbookViewId="0">
      <selection activeCell="E29" sqref="E29"/>
    </sheetView>
  </sheetViews>
  <sheetFormatPr defaultColWidth="8.81640625" defaultRowHeight="14.5" x14ac:dyDescent="0.35"/>
  <cols>
    <col min="1" max="1" width="16.1796875" style="23" customWidth="1"/>
    <col min="2" max="2" width="31.81640625" style="23" customWidth="1"/>
    <col min="3" max="3" width="21.54296875" style="24" customWidth="1"/>
    <col min="4" max="4" width="21.54296875" style="23" customWidth="1"/>
    <col min="5" max="11" width="11.453125" style="23" customWidth="1"/>
    <col min="12" max="16384" width="8.81640625" style="23"/>
  </cols>
  <sheetData>
    <row r="3" spans="1:27" ht="15" customHeight="1" x14ac:dyDescent="0.35">
      <c r="B3" s="19" t="s">
        <v>246</v>
      </c>
      <c r="C3" s="18"/>
      <c r="E3" s="15"/>
      <c r="F3" s="15"/>
      <c r="G3" s="15"/>
      <c r="H3" s="15"/>
      <c r="I3" s="15"/>
      <c r="J3" s="15"/>
      <c r="K3" s="15"/>
    </row>
    <row r="4" spans="1:27" ht="43.5" x14ac:dyDescent="0.35">
      <c r="B4" s="32"/>
      <c r="C4" s="31" t="s">
        <v>100</v>
      </c>
      <c r="D4" s="78" t="s">
        <v>247</v>
      </c>
      <c r="E4" s="38" t="s">
        <v>16</v>
      </c>
      <c r="F4" s="38" t="s">
        <v>18</v>
      </c>
      <c r="G4" s="38" t="s">
        <v>55</v>
      </c>
      <c r="H4" s="38" t="s">
        <v>52</v>
      </c>
      <c r="I4" s="38" t="s">
        <v>27</v>
      </c>
      <c r="J4" s="38" t="s">
        <v>30</v>
      </c>
      <c r="K4" s="38" t="s">
        <v>35</v>
      </c>
    </row>
    <row r="5" spans="1:27" x14ac:dyDescent="0.35">
      <c r="B5" s="16" t="s">
        <v>248</v>
      </c>
      <c r="C5" s="18" t="s">
        <v>104</v>
      </c>
      <c r="D5" s="15">
        <v>93.3</v>
      </c>
      <c r="E5" s="142">
        <v>95.628110000000007</v>
      </c>
      <c r="F5" s="143">
        <v>22.275539999999999</v>
      </c>
      <c r="G5" s="139">
        <v>77.168869999999998</v>
      </c>
      <c r="H5" s="139">
        <v>84.343180000000004</v>
      </c>
      <c r="I5" s="139">
        <v>20.619759999999999</v>
      </c>
      <c r="J5" s="140">
        <v>27.794070000000001</v>
      </c>
      <c r="K5" s="20" t="s">
        <v>98</v>
      </c>
    </row>
    <row r="6" spans="1:27" x14ac:dyDescent="0.35">
      <c r="B6" s="122" t="s">
        <v>249</v>
      </c>
      <c r="C6" s="122" t="s">
        <v>250</v>
      </c>
      <c r="D6" s="122"/>
      <c r="E6" s="141">
        <v>4.02E-2</v>
      </c>
      <c r="F6" s="141">
        <v>3.7199999999999997E-2</v>
      </c>
      <c r="G6" s="141">
        <v>4.8000000000000001E-2</v>
      </c>
      <c r="H6" s="141">
        <v>4.8000000000000001E-2</v>
      </c>
      <c r="I6" s="141">
        <v>4.8000000000000001E-2</v>
      </c>
      <c r="J6" s="141">
        <v>4.8000000000000001E-2</v>
      </c>
      <c r="K6" s="122" t="s">
        <v>251</v>
      </c>
    </row>
    <row r="7" spans="1:27" ht="94.5" customHeight="1" x14ac:dyDescent="0.35">
      <c r="B7" s="22" t="s">
        <v>252</v>
      </c>
      <c r="C7" s="123"/>
      <c r="D7" s="144" t="s">
        <v>253</v>
      </c>
      <c r="E7" s="124" t="s">
        <v>254</v>
      </c>
      <c r="F7" s="155" t="s">
        <v>255</v>
      </c>
      <c r="G7" s="155"/>
      <c r="H7" s="155"/>
      <c r="I7" s="155"/>
      <c r="J7" s="155"/>
      <c r="K7" s="125" t="s">
        <v>9</v>
      </c>
    </row>
    <row r="8" spans="1:27" x14ac:dyDescent="0.35">
      <c r="B8" s="18"/>
      <c r="C8" s="18"/>
      <c r="D8" s="15"/>
      <c r="E8" s="15"/>
      <c r="F8" s="15"/>
      <c r="G8" s="15"/>
      <c r="H8" s="17"/>
      <c r="I8" s="20"/>
      <c r="J8" s="15"/>
      <c r="K8" s="15"/>
      <c r="L8" s="15"/>
    </row>
    <row r="9" spans="1:27" x14ac:dyDescent="0.35">
      <c r="C9" s="15"/>
      <c r="D9" s="15"/>
    </row>
    <row r="10" spans="1:27" x14ac:dyDescent="0.35">
      <c r="B10" s="15"/>
      <c r="C10" s="18"/>
      <c r="D10" s="16"/>
      <c r="E10" s="16"/>
      <c r="F10" s="16"/>
      <c r="G10" s="16"/>
      <c r="H10" s="16"/>
      <c r="I10" s="16"/>
      <c r="J10" s="16"/>
      <c r="K10" s="15"/>
      <c r="L10" s="15"/>
    </row>
    <row r="11" spans="1:27" x14ac:dyDescent="0.35">
      <c r="B11" s="19" t="s">
        <v>256</v>
      </c>
      <c r="C11" s="18"/>
      <c r="D11" s="16"/>
      <c r="E11" s="16"/>
      <c r="F11" s="16"/>
      <c r="G11" s="16"/>
      <c r="H11" s="16"/>
      <c r="I11" s="16"/>
      <c r="J11" s="16"/>
      <c r="K11" s="15"/>
      <c r="L11" s="15"/>
    </row>
    <row r="12" spans="1:27" x14ac:dyDescent="0.35">
      <c r="B12" s="30" t="s">
        <v>257</v>
      </c>
      <c r="C12" s="31" t="s">
        <v>252</v>
      </c>
      <c r="D12" s="31" t="s">
        <v>258</v>
      </c>
      <c r="E12" s="32">
        <v>2028</v>
      </c>
      <c r="F12" s="32">
        <v>2029</v>
      </c>
      <c r="G12" s="32">
        <v>2030</v>
      </c>
      <c r="H12" s="32">
        <v>2031</v>
      </c>
      <c r="I12" s="32">
        <v>2032</v>
      </c>
      <c r="J12" s="32">
        <v>2033</v>
      </c>
      <c r="K12" s="32">
        <v>2034</v>
      </c>
      <c r="L12" s="32">
        <v>2035</v>
      </c>
      <c r="M12" s="32">
        <v>2036</v>
      </c>
      <c r="N12" s="32">
        <v>2037</v>
      </c>
      <c r="O12" s="32">
        <v>2038</v>
      </c>
      <c r="P12" s="32">
        <v>2039</v>
      </c>
      <c r="Q12" s="32">
        <v>2040</v>
      </c>
      <c r="R12" s="32">
        <v>2041</v>
      </c>
      <c r="S12" s="32">
        <v>2042</v>
      </c>
      <c r="T12" s="32">
        <v>2043</v>
      </c>
      <c r="U12" s="32">
        <v>2044</v>
      </c>
      <c r="V12" s="32">
        <v>2045</v>
      </c>
      <c r="W12" s="32">
        <v>2046</v>
      </c>
      <c r="X12" s="32">
        <v>2047</v>
      </c>
      <c r="Y12" s="32">
        <v>2048</v>
      </c>
      <c r="Z12" s="32">
        <v>2049</v>
      </c>
      <c r="AA12" s="32">
        <v>2050</v>
      </c>
    </row>
    <row r="13" spans="1:27" x14ac:dyDescent="0.35">
      <c r="A13" s="133"/>
      <c r="B13" s="120" t="s">
        <v>101</v>
      </c>
      <c r="C13" s="121" t="s">
        <v>253</v>
      </c>
      <c r="D13" s="26" t="s">
        <v>259</v>
      </c>
      <c r="E13" s="120">
        <v>4.0000000000000036E-2</v>
      </c>
      <c r="F13" s="120">
        <v>6.0000000000000053E-2</v>
      </c>
      <c r="G13" s="120">
        <v>7.999999999999996E-2</v>
      </c>
      <c r="H13" s="120">
        <v>0.124</v>
      </c>
      <c r="I13" s="120">
        <v>0.16800000000000004</v>
      </c>
      <c r="J13" s="120">
        <v>0.21199999999999997</v>
      </c>
      <c r="K13" s="120">
        <v>0.25600000000000001</v>
      </c>
      <c r="L13" s="120">
        <v>0.30000000000001137</v>
      </c>
      <c r="M13" s="120">
        <v>0.37000000000000455</v>
      </c>
      <c r="N13" s="120">
        <v>0.43999999999999773</v>
      </c>
      <c r="O13" s="120">
        <v>0.51000000000001933</v>
      </c>
      <c r="P13" s="120">
        <v>0.58000000000001251</v>
      </c>
      <c r="Q13" s="120">
        <v>0.65000000000000568</v>
      </c>
      <c r="R13" s="120">
        <v>0.67999999999999972</v>
      </c>
      <c r="S13" s="120">
        <v>0.71000000000000085</v>
      </c>
      <c r="T13" s="120">
        <v>0.74000000000000199</v>
      </c>
      <c r="U13" s="120">
        <v>0.77000000000000313</v>
      </c>
      <c r="V13" s="120">
        <v>0.79999999999999716</v>
      </c>
      <c r="W13" s="120">
        <v>0.82999999999999829</v>
      </c>
      <c r="X13" s="120">
        <v>0.85999999999999943</v>
      </c>
      <c r="Y13" s="120">
        <v>0.89000000000000057</v>
      </c>
      <c r="Z13" s="120">
        <v>0.92000000000000171</v>
      </c>
      <c r="AA13" s="120">
        <v>0.95000000000000284</v>
      </c>
    </row>
    <row r="14" spans="1:27" x14ac:dyDescent="0.35">
      <c r="B14" s="15" t="s">
        <v>105</v>
      </c>
      <c r="C14" s="18" t="s">
        <v>253</v>
      </c>
      <c r="D14" s="29" t="s">
        <v>259</v>
      </c>
      <c r="E14" s="29">
        <v>0.17000000000000004</v>
      </c>
      <c r="F14" s="29">
        <v>0.19000000000000006</v>
      </c>
      <c r="G14" s="29">
        <v>0.20999999999999996</v>
      </c>
      <c r="H14" s="29">
        <v>0.254</v>
      </c>
      <c r="I14" s="29">
        <v>0.29800000000000004</v>
      </c>
      <c r="J14" s="29">
        <v>0.34199999999999997</v>
      </c>
      <c r="K14" s="29">
        <v>0.38600000000000001</v>
      </c>
      <c r="L14" s="29">
        <v>0.43000000000001137</v>
      </c>
      <c r="M14" s="29">
        <v>0.50000000000000455</v>
      </c>
      <c r="N14" s="29">
        <v>0.56999999999999773</v>
      </c>
      <c r="O14" s="29">
        <v>0.64000000000001933</v>
      </c>
      <c r="P14" s="29">
        <v>0.71000000000001251</v>
      </c>
      <c r="Q14" s="29">
        <v>0.78000000000000569</v>
      </c>
      <c r="R14" s="29">
        <v>0.80999999999999972</v>
      </c>
      <c r="S14" s="29">
        <v>0.84000000000000086</v>
      </c>
      <c r="T14" s="29">
        <v>0.87000000000000199</v>
      </c>
      <c r="U14" s="29">
        <v>0.90000000000000313</v>
      </c>
      <c r="V14" s="29">
        <v>0.92999999999999716</v>
      </c>
      <c r="W14" s="29">
        <v>0.9599999999999983</v>
      </c>
      <c r="X14" s="29">
        <v>0.98999999999999944</v>
      </c>
      <c r="Y14" s="29">
        <v>1</v>
      </c>
      <c r="Z14" s="29">
        <v>1</v>
      </c>
      <c r="AA14" s="29">
        <v>1</v>
      </c>
    </row>
    <row r="15" spans="1:27" x14ac:dyDescent="0.35">
      <c r="B15" s="34" t="s">
        <v>260</v>
      </c>
      <c r="C15" s="121"/>
      <c r="D15" s="26" t="s">
        <v>261</v>
      </c>
      <c r="E15" s="120">
        <v>380</v>
      </c>
      <c r="F15" s="120">
        <v>380</v>
      </c>
      <c r="G15" s="120">
        <v>380</v>
      </c>
      <c r="H15" s="120">
        <v>380</v>
      </c>
      <c r="I15" s="120">
        <v>380</v>
      </c>
      <c r="J15" s="120">
        <v>380</v>
      </c>
      <c r="K15" s="120">
        <v>380</v>
      </c>
      <c r="L15" s="120">
        <v>380</v>
      </c>
      <c r="M15" s="120">
        <v>380</v>
      </c>
      <c r="N15" s="120">
        <v>380</v>
      </c>
      <c r="O15" s="120">
        <v>380</v>
      </c>
      <c r="P15" s="120">
        <v>380</v>
      </c>
      <c r="Q15" s="120">
        <v>380</v>
      </c>
      <c r="R15" s="120">
        <v>380</v>
      </c>
      <c r="S15" s="120">
        <v>380</v>
      </c>
      <c r="T15" s="120">
        <v>380</v>
      </c>
      <c r="U15" s="120">
        <v>380</v>
      </c>
      <c r="V15" s="120">
        <v>380</v>
      </c>
      <c r="W15" s="120">
        <v>380</v>
      </c>
      <c r="X15" s="120">
        <v>380</v>
      </c>
      <c r="Y15" s="120">
        <v>380</v>
      </c>
      <c r="Z15" s="120">
        <v>380</v>
      </c>
      <c r="AA15" s="120">
        <v>380</v>
      </c>
    </row>
    <row r="16" spans="1:27" x14ac:dyDescent="0.35">
      <c r="B16" s="15" t="s">
        <v>262</v>
      </c>
      <c r="C16" s="18"/>
      <c r="D16" s="29" t="s">
        <v>261</v>
      </c>
      <c r="E16" s="29">
        <v>100</v>
      </c>
      <c r="F16" s="29">
        <v>100</v>
      </c>
      <c r="G16" s="29">
        <v>100</v>
      </c>
      <c r="H16" s="29">
        <v>100</v>
      </c>
      <c r="I16" s="29">
        <v>100</v>
      </c>
      <c r="J16" s="29">
        <v>100</v>
      </c>
      <c r="K16" s="29">
        <v>100</v>
      </c>
      <c r="L16" s="29">
        <v>100</v>
      </c>
      <c r="M16" s="29">
        <v>100</v>
      </c>
      <c r="N16" s="29">
        <v>100</v>
      </c>
      <c r="O16" s="29">
        <v>100</v>
      </c>
      <c r="P16" s="29">
        <v>100</v>
      </c>
      <c r="Q16" s="29">
        <v>100</v>
      </c>
      <c r="R16" s="29">
        <v>100</v>
      </c>
      <c r="S16" s="29">
        <v>100</v>
      </c>
      <c r="T16" s="29">
        <v>100</v>
      </c>
      <c r="U16" s="29">
        <v>100</v>
      </c>
      <c r="V16" s="29">
        <v>100</v>
      </c>
      <c r="W16" s="29">
        <v>100</v>
      </c>
      <c r="X16" s="29">
        <v>100</v>
      </c>
      <c r="Y16" s="29">
        <v>100</v>
      </c>
      <c r="Z16" s="29">
        <v>100</v>
      </c>
      <c r="AA16" s="29">
        <v>100</v>
      </c>
    </row>
    <row r="17" spans="1:27" x14ac:dyDescent="0.35">
      <c r="B17" s="34" t="s">
        <v>263</v>
      </c>
      <c r="C17" s="121"/>
      <c r="D17" s="26" t="s">
        <v>264</v>
      </c>
      <c r="E17" s="120">
        <v>19</v>
      </c>
      <c r="F17" s="120">
        <v>19</v>
      </c>
      <c r="G17" s="120">
        <v>19</v>
      </c>
      <c r="H17" s="120">
        <v>19</v>
      </c>
      <c r="I17" s="120">
        <v>19</v>
      </c>
      <c r="J17" s="120">
        <v>19</v>
      </c>
      <c r="K17" s="120">
        <v>19</v>
      </c>
      <c r="L17" s="120">
        <v>14</v>
      </c>
      <c r="M17" s="120">
        <v>14</v>
      </c>
      <c r="N17" s="120">
        <v>14</v>
      </c>
      <c r="O17" s="120">
        <v>14</v>
      </c>
      <c r="P17" s="120">
        <v>14</v>
      </c>
      <c r="Q17" s="120">
        <v>14</v>
      </c>
      <c r="R17" s="120">
        <v>14</v>
      </c>
      <c r="S17" s="120">
        <v>14</v>
      </c>
      <c r="T17" s="120">
        <v>14</v>
      </c>
      <c r="U17" s="120">
        <v>14</v>
      </c>
      <c r="V17" s="120">
        <v>14</v>
      </c>
      <c r="W17" s="120">
        <v>14</v>
      </c>
      <c r="X17" s="120">
        <v>14</v>
      </c>
      <c r="Y17" s="120">
        <v>14</v>
      </c>
      <c r="Z17" s="120">
        <v>14</v>
      </c>
      <c r="AA17" s="120">
        <v>14</v>
      </c>
    </row>
    <row r="18" spans="1:27" x14ac:dyDescent="0.35">
      <c r="A18" s="133"/>
      <c r="B18" s="15" t="s">
        <v>15</v>
      </c>
      <c r="C18" s="18" t="s">
        <v>265</v>
      </c>
      <c r="D18" s="29" t="s">
        <v>261</v>
      </c>
      <c r="E18" s="29">
        <v>294</v>
      </c>
      <c r="F18" s="29">
        <v>294</v>
      </c>
      <c r="G18" s="29">
        <v>232</v>
      </c>
      <c r="H18" s="29">
        <v>232</v>
      </c>
      <c r="I18" s="29">
        <v>232</v>
      </c>
      <c r="J18" s="29">
        <v>232</v>
      </c>
      <c r="K18" s="29">
        <v>232</v>
      </c>
      <c r="L18" s="29">
        <v>145</v>
      </c>
      <c r="M18" s="29">
        <v>145</v>
      </c>
      <c r="N18" s="29">
        <v>145</v>
      </c>
      <c r="O18" s="29">
        <v>145</v>
      </c>
      <c r="P18" s="29">
        <v>145</v>
      </c>
      <c r="Q18" s="29">
        <v>61</v>
      </c>
      <c r="R18" s="29">
        <v>61</v>
      </c>
      <c r="S18" s="29">
        <v>61</v>
      </c>
      <c r="T18" s="29">
        <v>61</v>
      </c>
      <c r="U18" s="29">
        <v>61</v>
      </c>
      <c r="V18" s="29">
        <v>0</v>
      </c>
      <c r="W18" s="29">
        <v>0</v>
      </c>
      <c r="X18" s="29">
        <v>0</v>
      </c>
      <c r="Y18" s="29">
        <v>0</v>
      </c>
      <c r="Z18" s="29">
        <v>0</v>
      </c>
      <c r="AA18" s="29">
        <v>0</v>
      </c>
    </row>
    <row r="19" spans="1:27" x14ac:dyDescent="0.35">
      <c r="B19" s="34" t="s">
        <v>17</v>
      </c>
      <c r="C19" s="121" t="s">
        <v>265</v>
      </c>
      <c r="D19" s="26" t="s">
        <v>261</v>
      </c>
      <c r="E19" s="120">
        <v>352</v>
      </c>
      <c r="F19" s="120">
        <v>352</v>
      </c>
      <c r="G19" s="120">
        <v>270</v>
      </c>
      <c r="H19" s="120">
        <v>270</v>
      </c>
      <c r="I19" s="120">
        <v>270</v>
      </c>
      <c r="J19" s="120">
        <v>270</v>
      </c>
      <c r="K19" s="120">
        <v>270</v>
      </c>
      <c r="L19" s="120">
        <v>177</v>
      </c>
      <c r="M19" s="120">
        <v>177</v>
      </c>
      <c r="N19" s="120">
        <v>177</v>
      </c>
      <c r="O19" s="120">
        <v>177</v>
      </c>
      <c r="P19" s="120">
        <v>177</v>
      </c>
      <c r="Q19" s="120">
        <v>107</v>
      </c>
      <c r="R19" s="120">
        <v>107</v>
      </c>
      <c r="S19" s="120">
        <v>107</v>
      </c>
      <c r="T19" s="120">
        <v>107</v>
      </c>
      <c r="U19" s="120">
        <v>107</v>
      </c>
      <c r="V19" s="120">
        <v>0</v>
      </c>
      <c r="W19" s="120">
        <v>0</v>
      </c>
      <c r="X19" s="120">
        <v>0</v>
      </c>
      <c r="Y19" s="120">
        <v>0</v>
      </c>
      <c r="Z19" s="120">
        <v>0</v>
      </c>
      <c r="AA19" s="120">
        <v>0</v>
      </c>
    </row>
    <row r="20" spans="1:27" x14ac:dyDescent="0.35">
      <c r="B20" s="15" t="s">
        <v>20</v>
      </c>
      <c r="C20" s="18"/>
      <c r="D20" s="29" t="s">
        <v>261</v>
      </c>
      <c r="E20" s="29">
        <v>400</v>
      </c>
      <c r="F20" s="29">
        <v>400</v>
      </c>
      <c r="G20" s="29">
        <v>350</v>
      </c>
      <c r="H20" s="29">
        <v>300</v>
      </c>
      <c r="I20" s="29">
        <v>250</v>
      </c>
      <c r="J20" s="29">
        <v>200</v>
      </c>
      <c r="K20" s="29">
        <v>150</v>
      </c>
      <c r="L20" s="29">
        <v>100</v>
      </c>
      <c r="M20" s="29">
        <v>85</v>
      </c>
      <c r="N20" s="29">
        <v>70</v>
      </c>
      <c r="O20" s="29">
        <v>55</v>
      </c>
      <c r="P20" s="29">
        <v>40</v>
      </c>
      <c r="Q20" s="29">
        <v>25</v>
      </c>
      <c r="R20" s="29">
        <v>23</v>
      </c>
      <c r="S20" s="29">
        <v>21</v>
      </c>
      <c r="T20" s="29">
        <v>19</v>
      </c>
      <c r="U20" s="29">
        <v>17</v>
      </c>
      <c r="V20" s="29">
        <v>15</v>
      </c>
      <c r="W20" s="29">
        <v>13</v>
      </c>
      <c r="X20" s="29">
        <v>11</v>
      </c>
      <c r="Y20" s="29">
        <v>9</v>
      </c>
      <c r="Z20" s="29">
        <v>7</v>
      </c>
      <c r="AA20" s="29">
        <v>5</v>
      </c>
    </row>
    <row r="21" spans="1:27" x14ac:dyDescent="0.35">
      <c r="B21" s="34" t="s">
        <v>24</v>
      </c>
      <c r="C21" s="121"/>
      <c r="D21" s="26" t="s">
        <v>261</v>
      </c>
      <c r="E21" s="120">
        <f t="shared" ref="E21:AA21" si="0">E20/2</f>
        <v>200</v>
      </c>
      <c r="F21" s="120">
        <f t="shared" si="0"/>
        <v>200</v>
      </c>
      <c r="G21" s="120">
        <f t="shared" si="0"/>
        <v>175</v>
      </c>
      <c r="H21" s="120">
        <f t="shared" si="0"/>
        <v>150</v>
      </c>
      <c r="I21" s="120">
        <f t="shared" si="0"/>
        <v>125</v>
      </c>
      <c r="J21" s="120">
        <f t="shared" si="0"/>
        <v>100</v>
      </c>
      <c r="K21" s="120">
        <f t="shared" si="0"/>
        <v>75</v>
      </c>
      <c r="L21" s="120">
        <f t="shared" si="0"/>
        <v>50</v>
      </c>
      <c r="M21" s="120">
        <f t="shared" si="0"/>
        <v>42.5</v>
      </c>
      <c r="N21" s="120">
        <f t="shared" si="0"/>
        <v>35</v>
      </c>
      <c r="O21" s="120">
        <f t="shared" si="0"/>
        <v>27.5</v>
      </c>
      <c r="P21" s="120">
        <f t="shared" si="0"/>
        <v>20</v>
      </c>
      <c r="Q21" s="120">
        <f t="shared" si="0"/>
        <v>12.5</v>
      </c>
      <c r="R21" s="120">
        <f t="shared" si="0"/>
        <v>11.5</v>
      </c>
      <c r="S21" s="120">
        <f t="shared" si="0"/>
        <v>10.5</v>
      </c>
      <c r="T21" s="120">
        <f t="shared" si="0"/>
        <v>9.5</v>
      </c>
      <c r="U21" s="120">
        <f t="shared" si="0"/>
        <v>8.5</v>
      </c>
      <c r="V21" s="120">
        <f t="shared" si="0"/>
        <v>7.5</v>
      </c>
      <c r="W21" s="120">
        <f t="shared" si="0"/>
        <v>6.5</v>
      </c>
      <c r="X21" s="120">
        <f t="shared" si="0"/>
        <v>5.5</v>
      </c>
      <c r="Y21" s="120">
        <f t="shared" si="0"/>
        <v>4.5</v>
      </c>
      <c r="Z21" s="120">
        <f t="shared" si="0"/>
        <v>3.5</v>
      </c>
      <c r="AA21" s="120">
        <f t="shared" si="0"/>
        <v>2.5</v>
      </c>
    </row>
    <row r="22" spans="1:27" x14ac:dyDescent="0.35">
      <c r="B22" s="146" t="s">
        <v>26</v>
      </c>
      <c r="C22" s="36"/>
      <c r="D22" s="25" t="s">
        <v>261</v>
      </c>
      <c r="E22" s="147">
        <v>0</v>
      </c>
      <c r="F22" s="147">
        <v>0</v>
      </c>
      <c r="G22" s="147">
        <v>0</v>
      </c>
      <c r="H22" s="147">
        <v>0</v>
      </c>
      <c r="I22" s="147">
        <v>0</v>
      </c>
      <c r="J22" s="147">
        <v>0</v>
      </c>
      <c r="K22" s="147">
        <v>0</v>
      </c>
      <c r="L22" s="147">
        <v>0</v>
      </c>
      <c r="M22" s="147">
        <v>0</v>
      </c>
      <c r="N22" s="147">
        <v>0</v>
      </c>
      <c r="O22" s="147">
        <v>0</v>
      </c>
      <c r="P22" s="147">
        <v>0</v>
      </c>
      <c r="Q22" s="147">
        <v>0</v>
      </c>
      <c r="R22" s="147">
        <v>0</v>
      </c>
      <c r="S22" s="147">
        <v>0</v>
      </c>
      <c r="T22" s="147">
        <v>0</v>
      </c>
      <c r="U22" s="147">
        <v>0</v>
      </c>
      <c r="V22" s="147">
        <v>0</v>
      </c>
      <c r="W22" s="147">
        <v>0</v>
      </c>
      <c r="X22" s="147">
        <v>0</v>
      </c>
      <c r="Y22" s="147">
        <v>0</v>
      </c>
      <c r="Z22" s="147">
        <v>0</v>
      </c>
      <c r="AA22" s="147">
        <v>0</v>
      </c>
    </row>
    <row r="23" spans="1:27" x14ac:dyDescent="0.35">
      <c r="B23" s="15"/>
      <c r="C23" s="18"/>
      <c r="D23" s="16"/>
      <c r="E23" s="16"/>
      <c r="F23" s="16"/>
      <c r="G23" s="16"/>
      <c r="H23" s="16"/>
      <c r="I23" s="16"/>
      <c r="J23" s="16"/>
      <c r="K23" s="15"/>
      <c r="L23" s="15"/>
    </row>
    <row r="24" spans="1:27" x14ac:dyDescent="0.35">
      <c r="B24" s="15"/>
      <c r="C24" s="18"/>
      <c r="D24" s="16"/>
      <c r="E24" s="16"/>
      <c r="F24" s="16"/>
      <c r="G24" s="16"/>
      <c r="H24" s="16"/>
      <c r="I24" s="16"/>
      <c r="J24" s="16"/>
      <c r="K24" s="15"/>
      <c r="L24" s="15"/>
    </row>
    <row r="25" spans="1:27" x14ac:dyDescent="0.35">
      <c r="B25" s="19" t="s">
        <v>266</v>
      </c>
      <c r="C25" s="18"/>
      <c r="D25" s="16"/>
      <c r="E25" s="16"/>
      <c r="F25" s="16"/>
      <c r="G25" s="16"/>
      <c r="H25" s="16"/>
      <c r="I25" s="16"/>
      <c r="J25" s="16"/>
      <c r="K25" s="15"/>
      <c r="L25" s="15"/>
    </row>
    <row r="26" spans="1:27" x14ac:dyDescent="0.35">
      <c r="B26" s="30" t="s">
        <v>267</v>
      </c>
      <c r="C26" s="31" t="s">
        <v>252</v>
      </c>
      <c r="D26" s="31" t="s">
        <v>258</v>
      </c>
      <c r="E26" s="32">
        <v>2028</v>
      </c>
      <c r="F26" s="32">
        <v>2029</v>
      </c>
      <c r="G26" s="32">
        <v>2030</v>
      </c>
      <c r="H26" s="32">
        <v>2031</v>
      </c>
      <c r="I26" s="32">
        <v>2032</v>
      </c>
      <c r="J26" s="32">
        <v>2033</v>
      </c>
      <c r="K26" s="32">
        <v>2034</v>
      </c>
      <c r="L26" s="32">
        <v>2035</v>
      </c>
      <c r="M26" s="32">
        <v>2036</v>
      </c>
      <c r="N26" s="32">
        <v>2037</v>
      </c>
      <c r="O26" s="32">
        <v>2038</v>
      </c>
      <c r="P26" s="32">
        <v>2039</v>
      </c>
      <c r="Q26" s="32">
        <v>2040</v>
      </c>
      <c r="R26" s="32">
        <v>2041</v>
      </c>
      <c r="S26" s="32">
        <v>2042</v>
      </c>
      <c r="T26" s="32">
        <v>2043</v>
      </c>
      <c r="U26" s="32">
        <v>2044</v>
      </c>
      <c r="V26" s="32">
        <v>2045</v>
      </c>
      <c r="W26" s="32">
        <v>2046</v>
      </c>
      <c r="X26" s="32">
        <v>2047</v>
      </c>
      <c r="Y26" s="32">
        <v>2048</v>
      </c>
      <c r="Z26" s="32">
        <v>2049</v>
      </c>
      <c r="AA26" s="32">
        <v>2050</v>
      </c>
    </row>
    <row r="27" spans="1:27" x14ac:dyDescent="0.35">
      <c r="B27" s="15" t="s">
        <v>29</v>
      </c>
      <c r="C27" s="28" t="s">
        <v>268</v>
      </c>
      <c r="D27" s="18" t="s">
        <v>126</v>
      </c>
      <c r="E27" s="20">
        <v>14.241262135922296</v>
      </c>
      <c r="F27" s="20">
        <v>13.848786407766889</v>
      </c>
      <c r="G27" s="20">
        <v>13.456310679611649</v>
      </c>
      <c r="H27" s="20">
        <v>13.456310679611649</v>
      </c>
      <c r="I27" s="20">
        <v>13.456310679611649</v>
      </c>
      <c r="J27" s="20">
        <v>13.456310679611649</v>
      </c>
      <c r="K27" s="20">
        <v>13.456310679611649</v>
      </c>
      <c r="L27" s="20">
        <v>13.456310679611649</v>
      </c>
      <c r="M27" s="20">
        <v>13.456310679611649</v>
      </c>
      <c r="N27" s="20">
        <v>13.456310679611649</v>
      </c>
      <c r="O27" s="20">
        <v>13.456310679611649</v>
      </c>
      <c r="P27" s="20">
        <v>13.456310679611649</v>
      </c>
      <c r="Q27" s="20">
        <v>13.456310679611649</v>
      </c>
      <c r="R27" s="20">
        <v>13.456310679611649</v>
      </c>
      <c r="S27" s="20">
        <v>13.456310679611649</v>
      </c>
      <c r="T27" s="20">
        <v>13.456310679611649</v>
      </c>
      <c r="U27" s="20">
        <v>13.456310679611649</v>
      </c>
      <c r="V27" s="20">
        <v>13.456310679611649</v>
      </c>
      <c r="W27" s="20">
        <v>13.456310679611649</v>
      </c>
      <c r="X27" s="20">
        <v>13.456310679611649</v>
      </c>
      <c r="Y27" s="20">
        <v>13.456310679611649</v>
      </c>
      <c r="Z27" s="20">
        <v>13.456310679611649</v>
      </c>
      <c r="AA27" s="20">
        <v>13.456310679611649</v>
      </c>
    </row>
    <row r="28" spans="1:27" x14ac:dyDescent="0.35">
      <c r="B28" s="34" t="s">
        <v>37</v>
      </c>
      <c r="C28" s="33" t="s">
        <v>268</v>
      </c>
      <c r="D28" s="26" t="s">
        <v>126</v>
      </c>
      <c r="E28" s="27">
        <v>13.513486979796285</v>
      </c>
      <c r="F28" s="27">
        <v>12.461687677007411</v>
      </c>
      <c r="G28" s="27">
        <v>11.409888374218541</v>
      </c>
      <c r="H28" s="27">
        <v>11.404711335629472</v>
      </c>
      <c r="I28" s="27">
        <v>11.399534297040399</v>
      </c>
      <c r="J28" s="27">
        <v>11.394357258451331</v>
      </c>
      <c r="K28" s="27">
        <v>11.389180219862256</v>
      </c>
      <c r="L28" s="27">
        <v>11.384003181273181</v>
      </c>
      <c r="M28" s="27">
        <v>11.359334171568827</v>
      </c>
      <c r="N28" s="27">
        <v>11.334665161864466</v>
      </c>
      <c r="O28" s="27">
        <v>11.309996152160105</v>
      </c>
      <c r="P28" s="27">
        <v>11.285327142455742</v>
      </c>
      <c r="Q28" s="27">
        <v>11.26065813275139</v>
      </c>
      <c r="R28" s="27">
        <v>11.236676488740128</v>
      </c>
      <c r="S28" s="27">
        <v>11.212694844728878</v>
      </c>
      <c r="T28" s="27">
        <v>11.18871320071762</v>
      </c>
      <c r="U28" s="27">
        <v>11.164731556706363</v>
      </c>
      <c r="V28" s="27">
        <v>11.140749912695105</v>
      </c>
      <c r="W28" s="27">
        <v>11.119938841184348</v>
      </c>
      <c r="X28" s="27">
        <v>11.099127769673593</v>
      </c>
      <c r="Y28" s="27">
        <v>11.078316698162839</v>
      </c>
      <c r="Z28" s="27">
        <v>11.057505626652086</v>
      </c>
      <c r="AA28" s="27">
        <v>11.036694555141331</v>
      </c>
    </row>
    <row r="29" spans="1:27" x14ac:dyDescent="0.35">
      <c r="B29" s="23" t="s">
        <v>41</v>
      </c>
      <c r="C29" s="28" t="s">
        <v>54</v>
      </c>
      <c r="D29" s="35" t="s">
        <v>126</v>
      </c>
      <c r="E29" s="29">
        <f>AVERAGE(E30:E31)</f>
        <v>33.900000000000006</v>
      </c>
      <c r="F29" s="29">
        <f t="shared" ref="F29:AA29" si="1">AVERAGE(F30:F31)</f>
        <v>35.199999999999996</v>
      </c>
      <c r="G29" s="29">
        <f t="shared" si="1"/>
        <v>36.5</v>
      </c>
      <c r="H29" s="29">
        <f t="shared" si="1"/>
        <v>37.9</v>
      </c>
      <c r="I29" s="29">
        <f t="shared" si="1"/>
        <v>39.299999999999997</v>
      </c>
      <c r="J29" s="29">
        <f t="shared" si="1"/>
        <v>40.700000000000003</v>
      </c>
      <c r="K29" s="29">
        <f t="shared" si="1"/>
        <v>42.1</v>
      </c>
      <c r="L29" s="29">
        <f t="shared" si="1"/>
        <v>43.5</v>
      </c>
      <c r="M29" s="29">
        <f t="shared" si="1"/>
        <v>44.9</v>
      </c>
      <c r="N29" s="29">
        <f t="shared" si="1"/>
        <v>46.3</v>
      </c>
      <c r="O29" s="29">
        <f t="shared" si="1"/>
        <v>47.7</v>
      </c>
      <c r="P29" s="29">
        <f t="shared" si="1"/>
        <v>49.1</v>
      </c>
      <c r="Q29" s="29">
        <f t="shared" si="1"/>
        <v>50.5</v>
      </c>
      <c r="R29" s="29">
        <f t="shared" si="1"/>
        <v>51.800000000000004</v>
      </c>
      <c r="S29" s="29">
        <f t="shared" si="1"/>
        <v>53.099999999999994</v>
      </c>
      <c r="T29" s="29">
        <f t="shared" si="1"/>
        <v>54.400000000000006</v>
      </c>
      <c r="U29" s="29">
        <f t="shared" si="1"/>
        <v>55.699999999999996</v>
      </c>
      <c r="V29" s="29">
        <f t="shared" si="1"/>
        <v>57</v>
      </c>
      <c r="W29" s="29">
        <f t="shared" si="1"/>
        <v>58.300000000000004</v>
      </c>
      <c r="X29" s="29">
        <f t="shared" si="1"/>
        <v>59.599999999999994</v>
      </c>
      <c r="Y29" s="29">
        <f t="shared" si="1"/>
        <v>60.900000000000006</v>
      </c>
      <c r="Z29" s="29">
        <f t="shared" si="1"/>
        <v>62.199999999999996</v>
      </c>
      <c r="AA29" s="29">
        <f t="shared" si="1"/>
        <v>63.5</v>
      </c>
    </row>
    <row r="30" spans="1:27" x14ac:dyDescent="0.35">
      <c r="B30" s="34" t="s">
        <v>44</v>
      </c>
      <c r="C30" s="33" t="s">
        <v>54</v>
      </c>
      <c r="D30" s="26" t="s">
        <v>126</v>
      </c>
      <c r="E30" s="27">
        <v>23.6</v>
      </c>
      <c r="F30" s="27">
        <v>23.8</v>
      </c>
      <c r="G30" s="27">
        <v>24</v>
      </c>
      <c r="H30" s="27">
        <v>24.3</v>
      </c>
      <c r="I30" s="27">
        <v>24.6</v>
      </c>
      <c r="J30" s="27">
        <v>24.9</v>
      </c>
      <c r="K30" s="27">
        <v>25.2</v>
      </c>
      <c r="L30" s="27">
        <v>25.5</v>
      </c>
      <c r="M30" s="27">
        <v>25.8</v>
      </c>
      <c r="N30" s="27">
        <v>26.1</v>
      </c>
      <c r="O30" s="27">
        <v>26.4</v>
      </c>
      <c r="P30" s="27">
        <v>26.7</v>
      </c>
      <c r="Q30" s="27">
        <v>27</v>
      </c>
      <c r="R30" s="27">
        <v>27.2</v>
      </c>
      <c r="S30" s="27">
        <v>27.4</v>
      </c>
      <c r="T30" s="27">
        <v>27.6</v>
      </c>
      <c r="U30" s="27">
        <v>27.8</v>
      </c>
      <c r="V30" s="27">
        <v>28</v>
      </c>
      <c r="W30" s="27">
        <v>28.2</v>
      </c>
      <c r="X30" s="27">
        <v>28.4</v>
      </c>
      <c r="Y30" s="27">
        <v>28.6</v>
      </c>
      <c r="Z30" s="27">
        <v>28.8</v>
      </c>
      <c r="AA30" s="27">
        <v>29</v>
      </c>
    </row>
    <row r="31" spans="1:27" x14ac:dyDescent="0.35">
      <c r="B31" s="15" t="s">
        <v>46</v>
      </c>
      <c r="C31" s="28" t="s">
        <v>54</v>
      </c>
      <c r="D31" s="18" t="s">
        <v>126</v>
      </c>
      <c r="E31" s="20">
        <v>44.2</v>
      </c>
      <c r="F31" s="20">
        <v>46.599999999999994</v>
      </c>
      <c r="G31" s="20">
        <v>49</v>
      </c>
      <c r="H31" s="20">
        <v>51.5</v>
      </c>
      <c r="I31" s="20">
        <v>54</v>
      </c>
      <c r="J31" s="20">
        <v>56.5</v>
      </c>
      <c r="K31" s="20">
        <v>59</v>
      </c>
      <c r="L31" s="20">
        <v>61.5</v>
      </c>
      <c r="M31" s="20">
        <v>64</v>
      </c>
      <c r="N31" s="20">
        <v>66.5</v>
      </c>
      <c r="O31" s="20">
        <v>69</v>
      </c>
      <c r="P31" s="20">
        <v>71.5</v>
      </c>
      <c r="Q31" s="20">
        <v>74</v>
      </c>
      <c r="R31" s="20">
        <v>76.400000000000006</v>
      </c>
      <c r="S31" s="20">
        <v>78.8</v>
      </c>
      <c r="T31" s="20">
        <v>81.2</v>
      </c>
      <c r="U31" s="20">
        <v>83.6</v>
      </c>
      <c r="V31" s="20">
        <v>86</v>
      </c>
      <c r="W31" s="20">
        <v>88.4</v>
      </c>
      <c r="X31" s="20">
        <v>90.8</v>
      </c>
      <c r="Y31" s="20">
        <v>93.2</v>
      </c>
      <c r="Z31" s="20">
        <v>95.6</v>
      </c>
      <c r="AA31" s="20">
        <v>98</v>
      </c>
    </row>
    <row r="32" spans="1:27" x14ac:dyDescent="0.35">
      <c r="B32" s="34" t="s">
        <v>50</v>
      </c>
      <c r="C32" s="33" t="s">
        <v>269</v>
      </c>
      <c r="D32" s="26" t="s">
        <v>126</v>
      </c>
      <c r="E32" s="27">
        <v>37.733100403066011</v>
      </c>
      <c r="F32" s="27">
        <v>38.342146911849333</v>
      </c>
      <c r="G32" s="27">
        <v>38.940653333333337</v>
      </c>
      <c r="H32" s="27">
        <v>39.678942813058462</v>
      </c>
      <c r="I32" s="27">
        <v>40.406937977316012</v>
      </c>
      <c r="J32" s="27">
        <v>41.12659098936421</v>
      </c>
      <c r="K32" s="27">
        <v>41.833969319082563</v>
      </c>
      <c r="L32" s="27">
        <v>42.531053333333332</v>
      </c>
      <c r="M32" s="27">
        <v>43.412034814050593</v>
      </c>
      <c r="N32" s="27">
        <v>44.282938006995622</v>
      </c>
      <c r="O32" s="27">
        <v>45.139003878327202</v>
      </c>
      <c r="P32" s="27">
        <v>45.982628987106438</v>
      </c>
      <c r="Q32" s="27">
        <v>46.813813333333343</v>
      </c>
      <c r="R32" s="27">
        <v>47.848447938395338</v>
      </c>
      <c r="S32" s="27">
        <v>48.865752394541651</v>
      </c>
      <c r="T32" s="27">
        <v>49.868573412604043</v>
      </c>
      <c r="U32" s="27">
        <v>50.856910992582527</v>
      </c>
      <c r="V32" s="27">
        <v>51.83341333333334</v>
      </c>
      <c r="W32" s="27">
        <v>53.064461879284543</v>
      </c>
      <c r="X32" s="27">
        <v>54.27838999249412</v>
      </c>
      <c r="Y32" s="27">
        <v>55.475197672962103</v>
      </c>
      <c r="Z32" s="27">
        <v>56.658093423643798</v>
      </c>
      <c r="AA32" s="27">
        <v>57.820613333333341</v>
      </c>
    </row>
    <row r="33" spans="2:27" x14ac:dyDescent="0.35">
      <c r="B33" s="23" t="s">
        <v>56</v>
      </c>
      <c r="C33" s="28" t="s">
        <v>268</v>
      </c>
      <c r="D33" s="35" t="s">
        <v>126</v>
      </c>
      <c r="E33" s="29">
        <f t="shared" ref="E33:AA33" si="2">AVERAGE(E34:E35)</f>
        <v>49.155895453136402</v>
      </c>
      <c r="F33" s="29">
        <f t="shared" si="2"/>
        <v>46.21322714258794</v>
      </c>
      <c r="G33" s="29">
        <f t="shared" si="2"/>
        <v>43.223897239433271</v>
      </c>
      <c r="H33" s="29">
        <f t="shared" si="2"/>
        <v>42.444564729750361</v>
      </c>
      <c r="I33" s="29">
        <f t="shared" si="2"/>
        <v>41.592068900672885</v>
      </c>
      <c r="J33" s="29">
        <f t="shared" si="2"/>
        <v>40.666858608946939</v>
      </c>
      <c r="K33" s="29">
        <f t="shared" si="2"/>
        <v>39.66938271131859</v>
      </c>
      <c r="L33" s="29">
        <f t="shared" si="2"/>
        <v>38.600090064535287</v>
      </c>
      <c r="M33" s="29">
        <f t="shared" si="2"/>
        <v>37.733066164815156</v>
      </c>
      <c r="N33" s="29">
        <f t="shared" si="2"/>
        <v>36.816388607703651</v>
      </c>
      <c r="O33" s="29">
        <f t="shared" si="2"/>
        <v>35.85022952820573</v>
      </c>
      <c r="P33" s="29">
        <f t="shared" si="2"/>
        <v>34.83476106132396</v>
      </c>
      <c r="Q33" s="29">
        <f t="shared" si="2"/>
        <v>33.770155342062679</v>
      </c>
      <c r="R33" s="29">
        <f t="shared" si="2"/>
        <v>32.653034249495434</v>
      </c>
      <c r="S33" s="29">
        <f t="shared" si="2"/>
        <v>31.512437862628751</v>
      </c>
      <c r="T33" s="29">
        <f t="shared" si="2"/>
        <v>30.348272331188262</v>
      </c>
      <c r="U33" s="29">
        <f t="shared" si="2"/>
        <v>29.16044380489835</v>
      </c>
      <c r="V33" s="29">
        <f t="shared" si="2"/>
        <v>27.948858433484247</v>
      </c>
      <c r="W33" s="29">
        <f t="shared" si="2"/>
        <v>26.926182930715683</v>
      </c>
      <c r="X33" s="29">
        <f t="shared" si="2"/>
        <v>25.892028440725745</v>
      </c>
      <c r="Y33" s="29">
        <f t="shared" si="2"/>
        <v>24.846329586709331</v>
      </c>
      <c r="Z33" s="29">
        <f t="shared" si="2"/>
        <v>23.789020991861381</v>
      </c>
      <c r="AA33" s="29">
        <f t="shared" si="2"/>
        <v>22.720037279376836</v>
      </c>
    </row>
    <row r="34" spans="2:27" x14ac:dyDescent="0.35">
      <c r="B34" s="34" t="s">
        <v>57</v>
      </c>
      <c r="C34" s="33" t="s">
        <v>268</v>
      </c>
      <c r="D34" s="26" t="s">
        <v>126</v>
      </c>
      <c r="E34" s="27">
        <v>40.478340353858009</v>
      </c>
      <c r="F34" s="27">
        <v>37.380949103708431</v>
      </c>
      <c r="G34" s="27">
        <v>34.236956106325934</v>
      </c>
      <c r="H34" s="27">
        <v>33.687581910973869</v>
      </c>
      <c r="I34" s="27">
        <v>33.064701104118477</v>
      </c>
      <c r="J34" s="27">
        <v>32.368764648601925</v>
      </c>
      <c r="K34" s="27">
        <v>31.600223507266357</v>
      </c>
      <c r="L34" s="27">
        <v>30.759528642955274</v>
      </c>
      <c r="M34" s="27">
        <v>30.102768015678215</v>
      </c>
      <c r="N34" s="27">
        <v>29.396120749388739</v>
      </c>
      <c r="O34" s="27">
        <v>28.639759786772338</v>
      </c>
      <c r="P34" s="27">
        <v>27.833858070512129</v>
      </c>
      <c r="Q34" s="27">
        <v>26.978588543292936</v>
      </c>
      <c r="R34" s="27">
        <v>26.118165221247637</v>
      </c>
      <c r="S34" s="27">
        <v>25.23415645567307</v>
      </c>
      <c r="T34" s="27">
        <v>24.326467955936781</v>
      </c>
      <c r="U34" s="27">
        <v>23.395005431405064</v>
      </c>
      <c r="V34" s="27">
        <v>22.439674591445101</v>
      </c>
      <c r="W34" s="27">
        <v>21.663670792916818</v>
      </c>
      <c r="X34" s="27">
        <v>20.876134146219336</v>
      </c>
      <c r="Y34" s="27">
        <v>20.076998967790789</v>
      </c>
      <c r="Z34" s="27">
        <v>19.266199574069397</v>
      </c>
      <c r="AA34" s="27">
        <v>18.443670281493354</v>
      </c>
    </row>
    <row r="35" spans="2:27" x14ac:dyDescent="0.35">
      <c r="B35" s="37" t="s">
        <v>59</v>
      </c>
      <c r="C35" s="36" t="s">
        <v>268</v>
      </c>
      <c r="D35" s="25" t="s">
        <v>126</v>
      </c>
      <c r="E35" s="21">
        <v>57.833450552414796</v>
      </c>
      <c r="F35" s="21">
        <v>55.045505181467448</v>
      </c>
      <c r="G35" s="21">
        <v>52.210838372540607</v>
      </c>
      <c r="H35" s="21">
        <v>51.201547548526854</v>
      </c>
      <c r="I35" s="21">
        <v>50.1194366972273</v>
      </c>
      <c r="J35" s="21">
        <v>48.964952569291945</v>
      </c>
      <c r="K35" s="21">
        <v>47.738541915370831</v>
      </c>
      <c r="L35" s="21">
        <v>46.4406514861153</v>
      </c>
      <c r="M35" s="21">
        <v>45.363364313952104</v>
      </c>
      <c r="N35" s="21">
        <v>44.236656466018566</v>
      </c>
      <c r="O35" s="21">
        <v>43.060699269639116</v>
      </c>
      <c r="P35" s="21">
        <v>41.835664052135797</v>
      </c>
      <c r="Q35" s="21">
        <v>40.56172214083243</v>
      </c>
      <c r="R35" s="21">
        <v>39.187903277743224</v>
      </c>
      <c r="S35" s="21">
        <v>37.790719269584436</v>
      </c>
      <c r="T35" s="21">
        <v>36.370076706439747</v>
      </c>
      <c r="U35" s="21">
        <v>34.925882178391632</v>
      </c>
      <c r="V35" s="21">
        <v>33.458042275523397</v>
      </c>
      <c r="W35" s="21">
        <v>32.188695068514548</v>
      </c>
      <c r="X35" s="21">
        <v>30.907922735232159</v>
      </c>
      <c r="Y35" s="21">
        <v>29.615660205627876</v>
      </c>
      <c r="Z35" s="21">
        <v>28.311842409653366</v>
      </c>
      <c r="AA35" s="21">
        <v>26.996404277260318</v>
      </c>
    </row>
  </sheetData>
  <sheetProtection formatCells="0" formatColumns="0" formatRows="0" insertColumns="0" insertRows="0" insertHyperlinks="0" deleteColumns="0" deleteRows="0" sort="0" autoFilter="0" pivotTables="0"/>
  <mergeCells count="1">
    <mergeCell ref="F7:J7"/>
  </mergeCells>
  <phoneticPr fontId="47" type="noConversion"/>
  <hyperlinks>
    <hyperlink ref="C18" r:id="rId1" xr:uid="{F049BB78-4E0F-4B7E-AAD0-42EC64C004F6}"/>
    <hyperlink ref="C34" r:id="rId2" xr:uid="{2E63C9F4-804D-41E1-AB7D-69A864D4CF44}"/>
    <hyperlink ref="C35" r:id="rId3" xr:uid="{981663C4-2DD5-4772-BC51-C60BE1474CC6}"/>
    <hyperlink ref="C32" r:id="rId4" display="MMMCZCS, 2024" xr:uid="{80FD63FD-E923-42EE-A9E8-CC97BCDBED1F}"/>
    <hyperlink ref="C27" r:id="rId5" xr:uid="{BB3295B8-C784-4AFC-BFDB-1DE5AB0A8ED7}"/>
    <hyperlink ref="C28" r:id="rId6" xr:uid="{B6004DE9-BD4A-4F37-89DE-3BCACA0B7D27}"/>
    <hyperlink ref="C29" r:id="rId7" display="Source: LR &amp; UMAS, 2020" xr:uid="{B11F2E59-DCFE-4D66-A47C-0BEF88E8A74C}"/>
    <hyperlink ref="C30" r:id="rId8" display="Source: LR &amp; UMAS, 2020" xr:uid="{BF1C0B0E-E8AB-4B96-8B19-825146260D2B}"/>
    <hyperlink ref="C31" r:id="rId9" display="Source: LR &amp; UMAS, 2020" xr:uid="{5D895B08-E419-4467-90B7-5D9E4741E096}"/>
    <hyperlink ref="C19" r:id="rId10" xr:uid="{609694C5-8DA7-42EB-82D9-CE97B8F90151}"/>
    <hyperlink ref="E7" r:id="rId11" display="MEPC 81/16/Add.1, Annex 10, Appendix 2 (pg 49)" xr:uid="{20943D73-3883-4686-B0A6-878899923F2D}"/>
    <hyperlink ref="C33" r:id="rId12" xr:uid="{DA45FBB1-7114-437E-870D-220DC6150E62}"/>
    <hyperlink ref="F7" r:id="rId13" display="MEPC 81/16/Add.1, Annex 10, Appendix 2 (pg 49)" xr:uid="{4E52B1A4-EF22-4056-93B0-FEA0257F34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0C8D-EB58-4DC7-9D9D-CD36EC4D5615}">
  <sheetPr>
    <tabColor theme="0" tint="-4.9989318521683403E-2"/>
  </sheetPr>
  <dimension ref="B2:I30"/>
  <sheetViews>
    <sheetView showGridLines="0" zoomScaleNormal="100" workbookViewId="0">
      <selection activeCell="L31" sqref="L31"/>
    </sheetView>
  </sheetViews>
  <sheetFormatPr defaultRowHeight="14.5" x14ac:dyDescent="0.35"/>
  <cols>
    <col min="2" max="2" width="15" customWidth="1"/>
    <col min="3" max="9" width="13.1796875" customWidth="1"/>
  </cols>
  <sheetData>
    <row r="2" spans="2:9" ht="29" x14ac:dyDescent="0.35">
      <c r="B2" s="145" t="s">
        <v>270</v>
      </c>
      <c r="C2" s="1">
        <v>93.3</v>
      </c>
    </row>
    <row r="4" spans="2:9" x14ac:dyDescent="0.35">
      <c r="G4" s="76" t="s">
        <v>271</v>
      </c>
      <c r="H4" s="76" t="s">
        <v>272</v>
      </c>
      <c r="I4" s="76" t="s">
        <v>273</v>
      </c>
    </row>
    <row r="5" spans="2:9" x14ac:dyDescent="0.35">
      <c r="B5" s="127" t="s">
        <v>274</v>
      </c>
      <c r="C5" s="127" t="s">
        <v>275</v>
      </c>
      <c r="D5" s="127" t="s">
        <v>276</v>
      </c>
      <c r="E5" s="127" t="s">
        <v>277</v>
      </c>
      <c r="F5" s="127" t="s">
        <v>278</v>
      </c>
      <c r="G5" s="127" t="s">
        <v>279</v>
      </c>
      <c r="H5" s="127" t="s">
        <v>280</v>
      </c>
      <c r="I5" s="127" t="s">
        <v>281</v>
      </c>
    </row>
    <row r="6" spans="2:9" x14ac:dyDescent="0.35">
      <c r="B6" s="128" t="s">
        <v>282</v>
      </c>
      <c r="C6" s="129">
        <v>1</v>
      </c>
      <c r="D6" s="128"/>
      <c r="E6" s="129">
        <v>1</v>
      </c>
      <c r="F6" s="128"/>
      <c r="G6" s="131">
        <f t="shared" ref="G6:G29" si="0">E6*$C$2</f>
        <v>93.3</v>
      </c>
      <c r="H6" s="131">
        <f t="shared" ref="H6:H29" si="1">C6*$C$2-G6</f>
        <v>0</v>
      </c>
      <c r="I6" s="131">
        <f>$C$2-G6-H6</f>
        <v>0</v>
      </c>
    </row>
    <row r="7" spans="2:9" x14ac:dyDescent="0.35">
      <c r="B7" s="128">
        <v>2028</v>
      </c>
      <c r="C7" s="129">
        <v>0.96</v>
      </c>
      <c r="D7" s="130">
        <f t="shared" ref="D7:D14" si="2">C7-1</f>
        <v>-4.0000000000000036E-2</v>
      </c>
      <c r="E7" s="129">
        <v>0.83</v>
      </c>
      <c r="F7" s="130">
        <f>E7-1</f>
        <v>-0.17000000000000004</v>
      </c>
      <c r="G7" s="131">
        <f t="shared" si="0"/>
        <v>77.438999999999993</v>
      </c>
      <c r="H7" s="131">
        <f t="shared" si="1"/>
        <v>12.129000000000005</v>
      </c>
      <c r="I7" s="131">
        <f>$C$2-G7-H7</f>
        <v>3.7319999999999993</v>
      </c>
    </row>
    <row r="8" spans="2:9" x14ac:dyDescent="0.35">
      <c r="B8" s="128">
        <v>2029</v>
      </c>
      <c r="C8" s="129">
        <v>0.94</v>
      </c>
      <c r="D8" s="130">
        <f t="shared" si="2"/>
        <v>-6.0000000000000053E-2</v>
      </c>
      <c r="E8" s="129">
        <v>0.80999999999999994</v>
      </c>
      <c r="F8" s="130">
        <f t="shared" ref="F8" si="3">E8-1</f>
        <v>-0.19000000000000006</v>
      </c>
      <c r="G8" s="131">
        <f t="shared" si="0"/>
        <v>75.572999999999993</v>
      </c>
      <c r="H8" s="131">
        <f t="shared" si="1"/>
        <v>12.129000000000005</v>
      </c>
      <c r="I8" s="131">
        <f t="shared" ref="I8:I29" si="4">$C$2-G8-H8</f>
        <v>5.597999999999999</v>
      </c>
    </row>
    <row r="9" spans="2:9" x14ac:dyDescent="0.35">
      <c r="B9" s="128">
        <v>2030</v>
      </c>
      <c r="C9" s="129">
        <v>0.92</v>
      </c>
      <c r="D9" s="130">
        <f t="shared" si="2"/>
        <v>-7.999999999999996E-2</v>
      </c>
      <c r="E9" s="129">
        <v>0.79</v>
      </c>
      <c r="F9" s="130">
        <f t="shared" ref="F9:F14" si="5">E9-1</f>
        <v>-0.20999999999999996</v>
      </c>
      <c r="G9" s="131">
        <f t="shared" si="0"/>
        <v>73.707000000000008</v>
      </c>
      <c r="H9" s="131">
        <f t="shared" si="1"/>
        <v>12.128999999999991</v>
      </c>
      <c r="I9" s="131">
        <f t="shared" si="4"/>
        <v>7.4639999999999986</v>
      </c>
    </row>
    <row r="10" spans="2:9" x14ac:dyDescent="0.35">
      <c r="B10" s="128">
        <v>2031</v>
      </c>
      <c r="C10" s="129">
        <v>0.876</v>
      </c>
      <c r="D10" s="130">
        <f t="shared" si="2"/>
        <v>-0.124</v>
      </c>
      <c r="E10" s="129">
        <v>0.746</v>
      </c>
      <c r="F10" s="130">
        <f t="shared" si="5"/>
        <v>-0.254</v>
      </c>
      <c r="G10" s="131">
        <f t="shared" si="0"/>
        <v>69.601799999999997</v>
      </c>
      <c r="H10" s="131">
        <f t="shared" si="1"/>
        <v>12.129000000000005</v>
      </c>
      <c r="I10" s="131">
        <f t="shared" si="4"/>
        <v>11.569199999999995</v>
      </c>
    </row>
    <row r="11" spans="2:9" x14ac:dyDescent="0.35">
      <c r="B11" s="128">
        <v>2032</v>
      </c>
      <c r="C11" s="129">
        <v>0.83199999999999996</v>
      </c>
      <c r="D11" s="130">
        <f t="shared" si="2"/>
        <v>-0.16800000000000004</v>
      </c>
      <c r="E11" s="129">
        <v>0.70199999999999996</v>
      </c>
      <c r="F11" s="130">
        <f t="shared" si="5"/>
        <v>-0.29800000000000004</v>
      </c>
      <c r="G11" s="131">
        <f t="shared" si="0"/>
        <v>65.496600000000001</v>
      </c>
      <c r="H11" s="131">
        <f t="shared" si="1"/>
        <v>12.128999999999991</v>
      </c>
      <c r="I11" s="131">
        <f t="shared" si="4"/>
        <v>15.674400000000006</v>
      </c>
    </row>
    <row r="12" spans="2:9" x14ac:dyDescent="0.35">
      <c r="B12" s="128">
        <v>2033</v>
      </c>
      <c r="C12" s="129">
        <v>0.78800000000000003</v>
      </c>
      <c r="D12" s="130">
        <f t="shared" si="2"/>
        <v>-0.21199999999999997</v>
      </c>
      <c r="E12" s="129">
        <v>0.65800000000000003</v>
      </c>
      <c r="F12" s="130">
        <f t="shared" si="5"/>
        <v>-0.34199999999999997</v>
      </c>
      <c r="G12" s="131">
        <f t="shared" si="0"/>
        <v>61.391400000000004</v>
      </c>
      <c r="H12" s="131">
        <f t="shared" si="1"/>
        <v>12.128999999999991</v>
      </c>
      <c r="I12" s="131">
        <f t="shared" si="4"/>
        <v>19.779600000000002</v>
      </c>
    </row>
    <row r="13" spans="2:9" x14ac:dyDescent="0.35">
      <c r="B13" s="128">
        <v>2034</v>
      </c>
      <c r="C13" s="129">
        <v>0.74399999999999999</v>
      </c>
      <c r="D13" s="130">
        <f t="shared" si="2"/>
        <v>-0.25600000000000001</v>
      </c>
      <c r="E13" s="129">
        <v>0.61399999999999999</v>
      </c>
      <c r="F13" s="130">
        <f t="shared" si="5"/>
        <v>-0.38600000000000001</v>
      </c>
      <c r="G13" s="131">
        <f t="shared" si="0"/>
        <v>57.286199999999994</v>
      </c>
      <c r="H13" s="131">
        <f t="shared" si="1"/>
        <v>12.129000000000005</v>
      </c>
      <c r="I13" s="131">
        <f t="shared" si="4"/>
        <v>23.884799999999998</v>
      </c>
    </row>
    <row r="14" spans="2:9" x14ac:dyDescent="0.35">
      <c r="B14" s="128">
        <v>2035</v>
      </c>
      <c r="C14" s="129">
        <v>0.69999999999998863</v>
      </c>
      <c r="D14" s="130">
        <f t="shared" si="2"/>
        <v>-0.30000000000001137</v>
      </c>
      <c r="E14" s="129">
        <v>0.56999999999998863</v>
      </c>
      <c r="F14" s="130">
        <f t="shared" si="5"/>
        <v>-0.43000000000001137</v>
      </c>
      <c r="G14" s="131">
        <f t="shared" si="0"/>
        <v>53.180999999998939</v>
      </c>
      <c r="H14" s="131">
        <f t="shared" si="1"/>
        <v>12.128999999999998</v>
      </c>
      <c r="I14" s="131">
        <f t="shared" si="4"/>
        <v>27.990000000001061</v>
      </c>
    </row>
    <row r="15" spans="2:9" x14ac:dyDescent="0.35">
      <c r="B15" s="128">
        <v>2036</v>
      </c>
      <c r="C15" s="129">
        <v>0.62999999999999545</v>
      </c>
      <c r="D15" s="130"/>
      <c r="E15" s="129">
        <v>0.49999999999999545</v>
      </c>
      <c r="F15" s="130"/>
      <c r="G15" s="131">
        <f t="shared" si="0"/>
        <v>46.649999999999572</v>
      </c>
      <c r="H15" s="131">
        <f t="shared" si="1"/>
        <v>12.129000000000005</v>
      </c>
      <c r="I15" s="131">
        <f t="shared" si="4"/>
        <v>34.52100000000042</v>
      </c>
    </row>
    <row r="16" spans="2:9" x14ac:dyDescent="0.35">
      <c r="B16" s="128">
        <v>2037</v>
      </c>
      <c r="C16" s="129">
        <v>0.56000000000000227</v>
      </c>
      <c r="D16" s="130"/>
      <c r="E16" s="129">
        <v>0.43000000000000227</v>
      </c>
      <c r="F16" s="130"/>
      <c r="G16" s="131">
        <f t="shared" si="0"/>
        <v>40.119000000000213</v>
      </c>
      <c r="H16" s="131">
        <f t="shared" si="1"/>
        <v>12.128999999999998</v>
      </c>
      <c r="I16" s="131">
        <f t="shared" si="4"/>
        <v>41.051999999999786</v>
      </c>
    </row>
    <row r="17" spans="2:9" x14ac:dyDescent="0.35">
      <c r="B17" s="128">
        <v>2038</v>
      </c>
      <c r="C17" s="129">
        <v>0.48999999999998067</v>
      </c>
      <c r="D17" s="130"/>
      <c r="E17" s="129">
        <v>0.35999999999998067</v>
      </c>
      <c r="F17" s="130"/>
      <c r="G17" s="131">
        <f t="shared" si="0"/>
        <v>33.587999999998196</v>
      </c>
      <c r="H17" s="131">
        <f t="shared" si="1"/>
        <v>12.128999999999998</v>
      </c>
      <c r="I17" s="131">
        <f t="shared" si="4"/>
        <v>47.583000000001803</v>
      </c>
    </row>
    <row r="18" spans="2:9" x14ac:dyDescent="0.35">
      <c r="B18" s="128">
        <v>2039</v>
      </c>
      <c r="C18" s="129">
        <v>0.41999999999998749</v>
      </c>
      <c r="D18" s="130"/>
      <c r="E18" s="129">
        <v>0.28999999999998749</v>
      </c>
      <c r="F18" s="130"/>
      <c r="G18" s="131">
        <f t="shared" si="0"/>
        <v>27.056999999998833</v>
      </c>
      <c r="H18" s="131">
        <f t="shared" si="1"/>
        <v>12.129000000000001</v>
      </c>
      <c r="I18" s="131">
        <f t="shared" si="4"/>
        <v>54.114000000001155</v>
      </c>
    </row>
    <row r="19" spans="2:9" x14ac:dyDescent="0.35">
      <c r="B19" s="128">
        <v>2040</v>
      </c>
      <c r="C19" s="129">
        <v>0.34999999999999432</v>
      </c>
      <c r="D19" s="130">
        <f>C19-1</f>
        <v>-0.65000000000000568</v>
      </c>
      <c r="E19" s="129">
        <v>0.21999999999999431</v>
      </c>
      <c r="F19" s="130"/>
      <c r="G19" s="131">
        <f t="shared" si="0"/>
        <v>20.525999999999467</v>
      </c>
      <c r="H19" s="131">
        <f t="shared" si="1"/>
        <v>12.129000000000001</v>
      </c>
      <c r="I19" s="131">
        <f t="shared" si="4"/>
        <v>60.645000000000522</v>
      </c>
    </row>
    <row r="20" spans="2:9" x14ac:dyDescent="0.35">
      <c r="B20" s="128">
        <v>2041</v>
      </c>
      <c r="C20" s="129">
        <v>0.32000000000000028</v>
      </c>
      <c r="D20" s="130"/>
      <c r="E20" s="129">
        <v>0.19000000000000028</v>
      </c>
      <c r="F20" s="130"/>
      <c r="G20" s="131">
        <f t="shared" si="0"/>
        <v>17.727000000000025</v>
      </c>
      <c r="H20" s="131">
        <f t="shared" si="1"/>
        <v>12.129000000000001</v>
      </c>
      <c r="I20" s="131">
        <f t="shared" si="4"/>
        <v>63.443999999999974</v>
      </c>
    </row>
    <row r="21" spans="2:9" x14ac:dyDescent="0.35">
      <c r="B21" s="128">
        <v>2042</v>
      </c>
      <c r="C21" s="129">
        <v>0.28999999999999915</v>
      </c>
      <c r="D21" s="130"/>
      <c r="E21" s="129">
        <v>0.15999999999999914</v>
      </c>
      <c r="F21" s="130"/>
      <c r="G21" s="131">
        <f t="shared" si="0"/>
        <v>14.927999999999919</v>
      </c>
      <c r="H21" s="131">
        <f t="shared" si="1"/>
        <v>12.129000000000001</v>
      </c>
      <c r="I21" s="131">
        <f t="shared" si="4"/>
        <v>66.243000000000066</v>
      </c>
    </row>
    <row r="22" spans="2:9" x14ac:dyDescent="0.35">
      <c r="B22" s="128">
        <v>2043</v>
      </c>
      <c r="C22" s="129">
        <v>0.25999999999999801</v>
      </c>
      <c r="D22" s="130"/>
      <c r="E22" s="129">
        <v>0.12999999999999801</v>
      </c>
      <c r="F22" s="130"/>
      <c r="G22" s="131">
        <f t="shared" si="0"/>
        <v>12.128999999999813</v>
      </c>
      <c r="H22" s="131">
        <f t="shared" si="1"/>
        <v>12.129000000000001</v>
      </c>
      <c r="I22" s="131">
        <f t="shared" si="4"/>
        <v>69.042000000000186</v>
      </c>
    </row>
    <row r="23" spans="2:9" x14ac:dyDescent="0.35">
      <c r="B23" s="128">
        <v>2044</v>
      </c>
      <c r="C23" s="129">
        <v>0.22999999999999687</v>
      </c>
      <c r="D23" s="130"/>
      <c r="E23" s="129">
        <v>9.9999999999996869E-2</v>
      </c>
      <c r="F23" s="130"/>
      <c r="G23" s="131">
        <f t="shared" si="0"/>
        <v>9.329999999999707</v>
      </c>
      <c r="H23" s="131">
        <f t="shared" si="1"/>
        <v>12.129000000000001</v>
      </c>
      <c r="I23" s="131">
        <f t="shared" si="4"/>
        <v>71.841000000000278</v>
      </c>
    </row>
    <row r="24" spans="2:9" x14ac:dyDescent="0.35">
      <c r="B24" s="128">
        <v>2045</v>
      </c>
      <c r="C24" s="129">
        <v>0.20000000000000284</v>
      </c>
      <c r="D24" s="130"/>
      <c r="E24" s="129">
        <v>7.0000000000002838E-2</v>
      </c>
      <c r="F24" s="130"/>
      <c r="G24" s="131">
        <f t="shared" si="0"/>
        <v>6.5310000000002644</v>
      </c>
      <c r="H24" s="131">
        <f t="shared" si="1"/>
        <v>12.128999999999998</v>
      </c>
      <c r="I24" s="131">
        <f t="shared" si="4"/>
        <v>74.639999999999731</v>
      </c>
    </row>
    <row r="25" spans="2:9" x14ac:dyDescent="0.35">
      <c r="B25" s="128">
        <v>2046</v>
      </c>
      <c r="C25" s="129">
        <v>0.17000000000000171</v>
      </c>
      <c r="D25" s="130"/>
      <c r="E25" s="129">
        <v>4.0000000000001701E-2</v>
      </c>
      <c r="F25" s="130"/>
      <c r="G25" s="131">
        <f t="shared" si="0"/>
        <v>3.7320000000001587</v>
      </c>
      <c r="H25" s="131">
        <f t="shared" si="1"/>
        <v>12.129</v>
      </c>
      <c r="I25" s="131">
        <f t="shared" si="4"/>
        <v>77.438999999999837</v>
      </c>
    </row>
    <row r="26" spans="2:9" x14ac:dyDescent="0.35">
      <c r="B26" s="128">
        <v>2047</v>
      </c>
      <c r="C26" s="129">
        <v>0.14000000000000057</v>
      </c>
      <c r="D26" s="130"/>
      <c r="E26" s="129">
        <v>1.0000000000000564E-2</v>
      </c>
      <c r="F26" s="130"/>
      <c r="G26" s="131">
        <f t="shared" si="0"/>
        <v>0.93300000000005257</v>
      </c>
      <c r="H26" s="131">
        <f t="shared" si="1"/>
        <v>12.129</v>
      </c>
      <c r="I26" s="131">
        <f t="shared" si="4"/>
        <v>80.237999999999943</v>
      </c>
    </row>
    <row r="27" spans="2:9" x14ac:dyDescent="0.35">
      <c r="B27" s="128">
        <v>2048</v>
      </c>
      <c r="C27" s="129">
        <v>0.10999999999999943</v>
      </c>
      <c r="D27" s="130"/>
      <c r="E27" s="129">
        <v>0</v>
      </c>
      <c r="F27" s="130"/>
      <c r="G27" s="131">
        <f t="shared" si="0"/>
        <v>0</v>
      </c>
      <c r="H27" s="131">
        <f t="shared" si="1"/>
        <v>10.262999999999947</v>
      </c>
      <c r="I27" s="131">
        <f t="shared" si="4"/>
        <v>83.037000000000049</v>
      </c>
    </row>
    <row r="28" spans="2:9" x14ac:dyDescent="0.35">
      <c r="B28" s="128">
        <v>2049</v>
      </c>
      <c r="C28" s="129">
        <v>7.9999999999998295E-2</v>
      </c>
      <c r="D28" s="130"/>
      <c r="E28" s="129">
        <v>0</v>
      </c>
      <c r="F28" s="130"/>
      <c r="G28" s="131">
        <f t="shared" si="0"/>
        <v>0</v>
      </c>
      <c r="H28" s="131">
        <f t="shared" si="1"/>
        <v>7.4639999999998405</v>
      </c>
      <c r="I28" s="131">
        <f t="shared" si="4"/>
        <v>85.836000000000155</v>
      </c>
    </row>
    <row r="29" spans="2:9" x14ac:dyDescent="0.35">
      <c r="B29" s="128">
        <v>2050</v>
      </c>
      <c r="C29" s="129">
        <v>4.9999999999997158E-2</v>
      </c>
      <c r="D29" s="130"/>
      <c r="E29" s="129">
        <v>0</v>
      </c>
      <c r="F29" s="130"/>
      <c r="G29" s="131">
        <f t="shared" si="0"/>
        <v>0</v>
      </c>
      <c r="H29" s="131">
        <f t="shared" si="1"/>
        <v>4.6649999999997345</v>
      </c>
      <c r="I29" s="131">
        <f t="shared" si="4"/>
        <v>88.635000000000261</v>
      </c>
    </row>
    <row r="30" spans="2:9" x14ac:dyDescent="0.35">
      <c r="C30" s="132"/>
      <c r="E30" s="79"/>
      <c r="F30" s="79"/>
      <c r="G30" s="132"/>
      <c r="H30" s="79"/>
    </row>
  </sheetData>
  <pageMargins left="0.7" right="0.7" top="0.75" bottom="0.75" header="0.3" footer="0.3"/>
  <pageSetup paperSize="9" orientation="portrait" r:id="rId1"/>
  <headerFooter>
    <oddFooter>&amp;C_x000D_&amp;1#&amp;"Calibri"&amp;10&amp;K000000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3d45350-d6f3-43eb-bc3b-872e487a66ef">
      <Terms xmlns="http://schemas.microsoft.com/office/infopath/2007/PartnerControls"/>
    </lcf76f155ced4ddcb4097134ff3c332f>
    <TaxCatchAll xmlns="bae2e4cf-1cea-45c6-bccc-ce4c78deb207"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65BA3798B174FB9075562706586E7" ma:contentTypeVersion="16" ma:contentTypeDescription="Create a new document." ma:contentTypeScope="" ma:versionID="a59bc9330485c13ba69fbf7a4775bf43">
  <xsd:schema xmlns:xsd="http://www.w3.org/2001/XMLSchema" xmlns:xs="http://www.w3.org/2001/XMLSchema" xmlns:p="http://schemas.microsoft.com/office/2006/metadata/properties" xmlns:ns1="http://schemas.microsoft.com/sharepoint/v3" xmlns:ns2="83d45350-d6f3-43eb-bc3b-872e487a66ef" xmlns:ns3="bae2e4cf-1cea-45c6-bccc-ce4c78deb207" targetNamespace="http://schemas.microsoft.com/office/2006/metadata/properties" ma:root="true" ma:fieldsID="a288210a6e382131454245568474e817" ns1:_="" ns2:_="" ns3:_="">
    <xsd:import namespace="http://schemas.microsoft.com/sharepoint/v3"/>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b9f3c38-9c8f-458d-8521-77c7534e311f}"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B0CB6-2E58-463B-9CA2-34E00A2E2DE5}">
  <ds:schemaRefs>
    <ds:schemaRef ds:uri="http://schemas.microsoft.com/office/2006/metadata/properties"/>
    <ds:schemaRef ds:uri="http://schemas.microsoft.com/office/infopath/2007/PartnerControls"/>
    <ds:schemaRef ds:uri="http://schemas.microsoft.com/sharepoint/v3"/>
    <ds:schemaRef ds:uri="83d45350-d6f3-43eb-bc3b-872e487a66ef"/>
    <ds:schemaRef ds:uri="bae2e4cf-1cea-45c6-bccc-ce4c78deb207"/>
  </ds:schemaRefs>
</ds:datastoreItem>
</file>

<file path=customXml/itemProps2.xml><?xml version="1.0" encoding="utf-8"?>
<ds:datastoreItem xmlns:ds="http://schemas.openxmlformats.org/officeDocument/2006/customXml" ds:itemID="{3E9AE294-90E7-45D1-A46A-3FAED366FE51}">
  <ds:schemaRefs>
    <ds:schemaRef ds:uri="http://schemas.microsoft.com/sharepoint/v3/contenttype/forms"/>
  </ds:schemaRefs>
</ds:datastoreItem>
</file>

<file path=customXml/itemProps3.xml><?xml version="1.0" encoding="utf-8"?>
<ds:datastoreItem xmlns:ds="http://schemas.openxmlformats.org/officeDocument/2006/customXml" ds:itemID="{B0CF7CB7-BFB6-4C2E-815C-AAC990547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d45350-d6f3-43eb-bc3b-872e487a66ef"/>
    <ds:schemaRef ds:uri="bae2e4cf-1cea-45c6-bccc-ce4c78deb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CCC Summary</vt:lpstr>
      <vt:lpstr>Calculations</vt:lpstr>
      <vt:lpstr>Data</vt:lpstr>
      <vt:lpstr>IMO GFI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Joe Bettles</cp:lastModifiedBy>
  <cp:revision/>
  <dcterms:created xsi:type="dcterms:W3CDTF">2015-06-05T18:19:34Z</dcterms:created>
  <dcterms:modified xsi:type="dcterms:W3CDTF">2025-04-24T09:31:44Z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0x01010014165BA3798B174FB9075562706586E7</vt:lpwstr>
  </property>
  <property fmtid="{D5CDD505-2E9C-101B-9397-08002B2CF9AE}" pid="3" name="MediaServiceImageTags">
    <vt:lpwstr/>
  </property>
</Properties>
</file>