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mc:AlternateContent xmlns:mc="http://schemas.openxmlformats.org/markup-compatibility/2006">
    <mc:Choice Requires="x15">
      <x15ac:absPath xmlns:x15ac="http://schemas.microsoft.com/office/spreadsheetml/2010/11/ac" url="https://zerocarbonshipping.sharepoint.com/sites/40033/Delte dokumenter/General/1 Working documents/4 FuelEU Newsletter/Newsletter Drafts/NL 2 - Pooling Value/"/>
    </mc:Choice>
  </mc:AlternateContent>
  <xr:revisionPtr revIDLastSave="25" documentId="8_{46D8FF0E-29C3-40C2-9BA0-2A75F450FB22}" xr6:coauthVersionLast="47" xr6:coauthVersionMax="47" xr10:uidLastSave="{B09B0F4A-274D-4EFB-9DCC-360C85E3D562}"/>
  <bookViews>
    <workbookView xWindow="-120" yWindow="-120" windowWidth="29040" windowHeight="17520" xr2:uid="{6F20F246-6BDA-4D9F-A972-25DB9C4FF36E}"/>
  </bookViews>
  <sheets>
    <sheet name="Pool Value v2" sheetId="4" r:id="rId1"/>
  </sheets>
  <externalReferences>
    <externalReference r:id="rId2"/>
    <externalReference r:id="rId3"/>
    <externalReference r:id="rId4"/>
  </externalReferences>
  <definedNames>
    <definedName name="__Ampler.Charts.0a6d1a90283444afb12196d473f6545a" localSheetId="0" hidden="1">#REF!</definedName>
    <definedName name="__Ampler.Charts.0a6d1a90283444afb12196d473f6545a" hidden="1">#REF!</definedName>
    <definedName name="__Ampler.Charts.34f1c03d97b345f9a4353d08cf28e475" localSheetId="0" hidden="1">[1]RouteAssessment!#REF!</definedName>
    <definedName name="__Ampler.Charts.34f1c03d97b345f9a4353d08cf28e475" hidden="1">[1]RouteAssessment!#REF!</definedName>
    <definedName name="__Ampler.Charts.4949497296a941e7b1dd898b06a43188" localSheetId="0" hidden="1">#REF!</definedName>
    <definedName name="__Ampler.Charts.4949497296a941e7b1dd898b06a43188" hidden="1">#REF!</definedName>
    <definedName name="__Ampler.Charts.4db02dabf638459889fa4705ee1aa0e7" localSheetId="0" hidden="1">#REF!</definedName>
    <definedName name="__Ampler.Charts.4db02dabf638459889fa4705ee1aa0e7" hidden="1">#REF!</definedName>
    <definedName name="__Ampler.Charts.4dbcb68e429b4e53b9337bb3cf75a6b2" hidden="1">#REF!</definedName>
    <definedName name="__Ampler.Charts.4eeae91c0b67498a8a436f0c0c38dece" localSheetId="0" hidden="1">[1]RouteAssessment!#REF!</definedName>
    <definedName name="__Ampler.Charts.4eeae91c0b67498a8a436f0c0c38dece" hidden="1">[1]RouteAssessment!#REF!</definedName>
    <definedName name="__Ampler.Charts.5728b5bb58e949dfa3a26fa526f1025b" localSheetId="0" hidden="1">[1]RouteAssessment!#REF!</definedName>
    <definedName name="__Ampler.Charts.5728b5bb58e949dfa3a26fa526f1025b" hidden="1">[1]RouteAssessment!#REF!</definedName>
    <definedName name="__Ampler.Charts.68bc14e0267446caab76e6e7a191a791" localSheetId="0" hidden="1">#REF!</definedName>
    <definedName name="__Ampler.Charts.68bc14e0267446caab76e6e7a191a791" hidden="1">#REF!</definedName>
    <definedName name="__Ampler.Charts.75a81f14f29d46e0b4e39cf665ff6370" localSheetId="0" hidden="1">[1]RouteAssessment!#REF!</definedName>
    <definedName name="__Ampler.Charts.75a81f14f29d46e0b4e39cf665ff6370" hidden="1">[1]RouteAssessment!#REF!</definedName>
    <definedName name="__Ampler.Charts.95df8f6dc046443690eba9763d4c43b9" localSheetId="0" hidden="1">#REF!</definedName>
    <definedName name="__Ampler.Charts.95df8f6dc046443690eba9763d4c43b9" hidden="1">#REF!</definedName>
    <definedName name="__Ampler.Charts.ac3a886e354c4182957999ac64699388" localSheetId="0" hidden="1">#REF!</definedName>
    <definedName name="__Ampler.Charts.ac3a886e354c4182957999ac64699388" hidden="1">#REF!</definedName>
    <definedName name="__Ampler.Charts.c817a1644e39488c8e9e7ad399afe5e3" hidden="1">#REF!</definedName>
    <definedName name="__Ampler.Charts.ccf74908bffc4081a620e52ce9827f62" localSheetId="0" hidden="1">[1]RouteAssessment!#REF!</definedName>
    <definedName name="__Ampler.Charts.ccf74908bffc4081a620e52ce9827f62" hidden="1">[1]RouteAssessment!#REF!</definedName>
    <definedName name="__Ampler.Charts.e84d9270cbb94356a40d81dc703d7694" localSheetId="0" hidden="1">#REF!</definedName>
    <definedName name="__Ampler.Charts.e84d9270cbb94356a40d81dc703d7694" hidden="1">#REF!</definedName>
    <definedName name="__Ampler.Charts.fa765f69abe84d24a3c4c841a6828b6f" localSheetId="0" hidden="1">#REF!</definedName>
    <definedName name="__Ampler.Charts.fa765f69abe84d24a3c4c841a6828b6f" hidden="1">#REF!</definedName>
    <definedName name="CostUnit" localSheetId="0">'[2]Fuel Cost'!#REF!</definedName>
    <definedName name="CostUnit">'[3]Fuel Cost'!#REF!</definedName>
    <definedName name="Lifetime" localSheetId="0">#REF!</definedName>
    <definedName name="Lifetime">#REF!</definedName>
    <definedName name="x" localSheetId="0">'[2]Fuel Cost'!#REF!</definedName>
    <definedName name="x">'[3]Fuel Cost'!#REF!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3" i="4" l="1"/>
  <c r="E134" i="4" s="1"/>
  <c r="E135" i="4" s="1"/>
  <c r="E136" i="4" s="1"/>
  <c r="E132" i="4"/>
  <c r="E126" i="4"/>
  <c r="E127" i="4" s="1"/>
  <c r="C126" i="4"/>
  <c r="B126" i="4"/>
  <c r="C118" i="4"/>
  <c r="C102" i="4"/>
  <c r="C93" i="4"/>
  <c r="B93" i="4"/>
  <c r="E91" i="4"/>
  <c r="E86" i="4"/>
  <c r="E72" i="4"/>
  <c r="E70" i="4"/>
  <c r="E71" i="4" s="1"/>
  <c r="E67" i="4"/>
  <c r="C67" i="4"/>
  <c r="E65" i="4"/>
  <c r="E66" i="4" s="1"/>
  <c r="E62" i="4"/>
  <c r="C62" i="4"/>
  <c r="E60" i="4"/>
  <c r="E57" i="4"/>
  <c r="L50" i="4"/>
  <c r="M42" i="4"/>
  <c r="M40" i="4"/>
  <c r="B35" i="4"/>
  <c r="P33" i="4"/>
  <c r="M33" i="4"/>
  <c r="K33" i="4"/>
  <c r="P32" i="4"/>
  <c r="M32" i="4"/>
  <c r="K32" i="4"/>
  <c r="P31" i="4"/>
  <c r="M31" i="4"/>
  <c r="K31" i="4"/>
  <c r="B31" i="4"/>
  <c r="P30" i="4"/>
  <c r="M30" i="4"/>
  <c r="K30" i="4"/>
  <c r="P29" i="4"/>
  <c r="M29" i="4"/>
  <c r="K29" i="4"/>
  <c r="P28" i="4"/>
  <c r="M28" i="4"/>
  <c r="K28" i="4"/>
  <c r="P27" i="4"/>
  <c r="M27" i="4"/>
  <c r="K27" i="4"/>
  <c r="D27" i="4"/>
  <c r="B27" i="4"/>
  <c r="P26" i="4"/>
  <c r="M26" i="4"/>
  <c r="K26" i="4"/>
  <c r="P25" i="4"/>
  <c r="M25" i="4"/>
  <c r="K25" i="4"/>
  <c r="P24" i="4"/>
  <c r="M24" i="4"/>
  <c r="K24" i="4"/>
  <c r="P23" i="4"/>
  <c r="M23" i="4"/>
  <c r="K23" i="4"/>
  <c r="P22" i="4"/>
  <c r="M22" i="4"/>
  <c r="K22" i="4"/>
  <c r="P21" i="4"/>
  <c r="M21" i="4"/>
  <c r="K21" i="4"/>
  <c r="P20" i="4"/>
  <c r="M20" i="4"/>
  <c r="K20" i="4"/>
  <c r="P19" i="4"/>
  <c r="M19" i="4"/>
  <c r="K19" i="4"/>
  <c r="P18" i="4"/>
  <c r="M18" i="4"/>
  <c r="K18" i="4"/>
  <c r="P17" i="4"/>
  <c r="M17" i="4"/>
  <c r="K17" i="4"/>
  <c r="P16" i="4"/>
  <c r="M16" i="4"/>
  <c r="K16" i="4"/>
  <c r="P15" i="4"/>
  <c r="E93" i="4" s="1"/>
  <c r="M15" i="4"/>
  <c r="K15" i="4"/>
  <c r="E102" i="4" s="1"/>
  <c r="P14" i="4"/>
  <c r="M14" i="4"/>
  <c r="K14" i="4"/>
  <c r="P13" i="4"/>
  <c r="M13" i="4"/>
  <c r="K13" i="4"/>
  <c r="P12" i="4"/>
  <c r="M12" i="4"/>
  <c r="K12" i="4"/>
  <c r="P11" i="4"/>
  <c r="M11" i="4"/>
  <c r="K11" i="4"/>
  <c r="P10" i="4"/>
  <c r="M10" i="4"/>
  <c r="K10" i="4"/>
  <c r="P9" i="4"/>
  <c r="M9" i="4"/>
  <c r="K9" i="4"/>
  <c r="P8" i="4"/>
  <c r="M8" i="4"/>
  <c r="K8" i="4"/>
  <c r="E87" i="4" l="1"/>
  <c r="E137" i="4" s="1"/>
  <c r="E79" i="4"/>
  <c r="E112" i="4"/>
  <c r="E88" i="4"/>
  <c r="E77" i="4"/>
  <c r="E110" i="4"/>
  <c r="E118" i="4"/>
  <c r="E61" i="4"/>
  <c r="E111" i="4" l="1"/>
  <c r="E78" i="4"/>
  <c r="E114" i="4" l="1"/>
  <c r="E115" i="4" s="1"/>
  <c r="E119" i="4" s="1"/>
  <c r="E113" i="4"/>
  <c r="E80" i="4"/>
  <c r="E81" i="4"/>
  <c r="D35" i="4" l="1"/>
  <c r="E82" i="4"/>
  <c r="E83" i="4" s="1"/>
  <c r="E92" i="4"/>
  <c r="B119" i="4"/>
  <c r="E120" i="4" l="1"/>
  <c r="E121" i="4" s="1"/>
  <c r="C51" i="4" s="1"/>
  <c r="E94" i="4"/>
  <c r="E95" i="4" s="1"/>
  <c r="B99" i="4" l="1"/>
  <c r="E99" i="4"/>
  <c r="B98" i="4"/>
  <c r="E128" i="4" l="1"/>
  <c r="E103" i="4"/>
  <c r="E104" i="4"/>
  <c r="B103" i="4"/>
  <c r="E105" i="4" l="1"/>
  <c r="B51" i="4" s="1"/>
  <c r="E129" i="4"/>
  <c r="E138" i="4" s="1"/>
  <c r="E139" i="4" s="1"/>
  <c r="E5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Bettles</author>
  </authors>
  <commentList>
    <comment ref="B15" authorId="0" shapeId="0" xr:uid="{D5289E9C-14AE-43D0-AFDE-C92309DAADE2}">
      <text>
        <r>
          <rPr>
            <b/>
            <sz val="9"/>
            <color indexed="81"/>
            <rFont val="Tahoma"/>
            <family val="2"/>
          </rPr>
          <t>Joe Bettles:</t>
        </r>
        <r>
          <rPr>
            <sz val="9"/>
            <color indexed="81"/>
            <rFont val="Tahoma"/>
            <family val="2"/>
          </rPr>
          <t xml:space="preserve">
The comparator for biofuels can be found in RED Annex VI - B(19) "For biomass fuels used as transport fuels, for the purposes of the calculation referred to in point 3, the fossil fuel comparator EF(t) shall be 94 g CO2eq/MJ"
RFNBO and RCF compartor can be found in the Delegated Regulation (EU) 2023/1185 Annex A(2) "For all renewable liquid and gaseous transport fuels of non-biological origin and recycled carbon fuels, the total emissions from the fossil fuel comparator shall be 94 gCO2eq/MJ"</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<sst xmlns="http://schemas.openxmlformats.org/spreadsheetml/2006/main" count="322" uniqueCount="240">
  <si>
    <t>Mærsk Mc-Kinney Møller Center for Zero Carbon Shipping</t>
  </si>
  <si>
    <r>
      <t xml:space="preserve">Assumptions and Parameters </t>
    </r>
    <r>
      <rPr>
        <b/>
        <sz val="14"/>
        <color theme="0"/>
        <rFont val="Aptos Narrow"/>
        <family val="2"/>
      </rPr>
      <t>↓↓</t>
    </r>
  </si>
  <si>
    <t>FuelEU Calculator</t>
  </si>
  <si>
    <t>Assumptions and Parameters</t>
  </si>
  <si>
    <r>
      <rPr>
        <b/>
        <sz val="9"/>
        <color theme="1"/>
        <rFont val="Aptos Narrow"/>
        <family val="2"/>
        <scheme val="minor"/>
      </rPr>
      <t>Disclaimer</t>
    </r>
    <r>
      <rPr>
        <sz val="9"/>
        <color theme="1"/>
        <rFont val="Aptos Narrow"/>
        <family val="2"/>
        <scheme val="minor"/>
      </rPr>
      <t>:This calculator is meant to indicate potential pooling prices but is not a price forecasting tool. It should not be taken as investment, financial, legal, tax, or accounting advice. Please evaluate assumptions before making decisions. This calculator is provided "as is" with no warranties, and the Fonden Mærsk Mc-Kinney Møller Center for Zero Carbon Shipping is not responsible for errors or damages arising from its use.</t>
    </r>
  </si>
  <si>
    <t>All from public sources, see links at the bottom of the table.</t>
  </si>
  <si>
    <r>
      <rPr>
        <b/>
        <sz val="12"/>
        <color theme="0"/>
        <rFont val="Aptos Narrow"/>
        <family val="2"/>
        <scheme val="minor"/>
      </rPr>
      <t>Purpose:</t>
    </r>
    <r>
      <rPr>
        <sz val="12"/>
        <color theme="0"/>
        <rFont val="Aptos Narrow"/>
        <family val="2"/>
        <scheme val="minor"/>
      </rPr>
      <t xml:space="preserve"> This tool helps users compare the costs of sustainable marine fuel (SMF) and conventional fuels under FuelEU. It shows the cost of using SMF on voyages subject to FuelEU, comparing business as usual (BAU) fuel costs with the minimum required SMF for FuelEU compliance or fully running on SMF. The surplus price is based on the lowest market compliance option (biodiesel blending or paying the penalty).</t>
    </r>
  </si>
  <si>
    <t>Fuel Cost Assumptions</t>
  </si>
  <si>
    <t>ETS Allowance Price Assumptions</t>
  </si>
  <si>
    <t>FuelEU</t>
  </si>
  <si>
    <r>
      <rPr>
        <b/>
        <sz val="12"/>
        <color theme="0"/>
        <rFont val="Aptos Narrow"/>
        <family val="2"/>
        <scheme val="minor"/>
      </rPr>
      <t xml:space="preserve">Logc for the price of pooling surplus: </t>
    </r>
    <r>
      <rPr>
        <sz val="12"/>
        <color theme="0"/>
        <rFont val="Aptos Narrow"/>
        <family val="2"/>
        <scheme val="minor"/>
      </rPr>
      <t>When green vessels are limited, the pooling price is likely set at the BAU FuelEU compliance cost—the cheapest option between paying a penalty or blending biodiesel with conventional fuel (we assume LSFO as the BAU fuel). This model highlights how a vessel running on SMF could sell surplus compliance at this price point.</t>
    </r>
  </si>
  <si>
    <t>LSFO</t>
  </si>
  <si>
    <t>LSFO cost per tonne</t>
  </si>
  <si>
    <t>100% Biodiesel (FAME)</t>
  </si>
  <si>
    <t>100% Biodiesel (FAME) cost per tonne</t>
  </si>
  <si>
    <t>Phase-in of allowances surrendered</t>
  </si>
  <si>
    <t>Base ETS Price Projections [USD/EUA]</t>
  </si>
  <si>
    <t>ETS price projection with phase-in</t>
  </si>
  <si>
    <t>FuelEU Target Intensity</t>
  </si>
  <si>
    <t>Drop downs</t>
  </si>
  <si>
    <r>
      <rPr>
        <b/>
        <sz val="12"/>
        <color theme="0"/>
        <rFont val="Aptos Narrow"/>
        <family val="2"/>
        <scheme val="minor"/>
      </rPr>
      <t>How to use the model:</t>
    </r>
    <r>
      <rPr>
        <sz val="12"/>
        <color theme="0"/>
        <rFont val="Aptos Narrow"/>
        <family val="2"/>
        <scheme val="minor"/>
      </rPr>
      <t xml:space="preserve"> In 'Input 1,' provide SMF values specific to your organization. The calculator applies pooling benefits based on this input. 'Input 2' establishes a baseline. You can either use the standard assumptions provided or input your own baseline values for comparison.</t>
    </r>
  </si>
  <si>
    <t>USD/GJ</t>
  </si>
  <si>
    <t>USD/tonne</t>
  </si>
  <si>
    <t>%</t>
  </si>
  <si>
    <t>USD/EUA</t>
  </si>
  <si>
    <t>gCO2eq/MJ</t>
  </si>
  <si>
    <t>Yes</t>
  </si>
  <si>
    <r>
      <rPr>
        <b/>
        <sz val="12"/>
        <color theme="0"/>
        <rFont val="Aptos Narrow"/>
        <family val="2"/>
        <scheme val="minor"/>
      </rPr>
      <t>The results:</t>
    </r>
    <r>
      <rPr>
        <sz val="12"/>
        <color theme="0"/>
        <rFont val="Aptos Narrow"/>
        <family val="2"/>
        <scheme val="minor"/>
      </rPr>
      <t xml:space="preserve"> The figures compare 1) cost of BAU with the additional EU ETS and FuelEU costs, 2) cost of using just enough SMF to meet FuelEU compliance, and 3) the cost of fully sailing on SMF and pooling FuelEU surplus.</t>
    </r>
  </si>
  <si>
    <t>Enter my own</t>
  </si>
  <si>
    <t>User Input</t>
  </si>
  <si>
    <t>No</t>
  </si>
  <si>
    <t>Input 1: Setup sustainable marine fuel (SMF)</t>
  </si>
  <si>
    <t>Notes</t>
  </si>
  <si>
    <t>Year for estimation</t>
  </si>
  <si>
    <t>Year is used for cost assumptions and FuelEU target</t>
  </si>
  <si>
    <t>Set a low-emissions fuel</t>
  </si>
  <si>
    <t>CO2e reduction share below comparator: 94 g/MJ</t>
  </si>
  <si>
    <t>Note: assumes satisfies the zero ETS rated criteria (btw 65-100%)</t>
  </si>
  <si>
    <t>Renewable fuel of non-biological origin (RFNBO)?</t>
  </si>
  <si>
    <t>Rewarded before 2033 (Note: CO2e reduction must be &gt;70%)</t>
  </si>
  <si>
    <t>Cost of SMF [USD/tonne LSFO-eq]</t>
  </si>
  <si>
    <t>Set SMF cost to estimate impact</t>
  </si>
  <si>
    <t>↑ If unsure on cost, use our Fuel Cost Calculator</t>
  </si>
  <si>
    <t>Sensitivity analysis on the pooling price</t>
  </si>
  <si>
    <t>Adjust the price for each surplus tonne of abatement</t>
  </si>
  <si>
    <t xml:space="preserve">Adjust price for surplus tonnes (max +100% above, min -100%) to account for e.g., transaction costs (-%), or high demand (+%). </t>
  </si>
  <si>
    <t>Input 2: Set business as usual (BAU) baseline</t>
  </si>
  <si>
    <t>Center Assumption Sources</t>
  </si>
  <si>
    <t>LSFO Fuel Costs [USD/tonne LSFO]</t>
  </si>
  <si>
    <t xml:space="preserve">Use Center Estimate? </t>
  </si>
  <si>
    <t>MMM Fuel Cost Calculator, 2024</t>
  </si>
  <si>
    <t>Biodiesel Fuel Costs [USD/tonne biodiesel]</t>
  </si>
  <si>
    <t>Use LR &amp; UMAS Estimate?</t>
  </si>
  <si>
    <t>LR &amp; UMAS, 2021</t>
  </si>
  <si>
    <t/>
  </si>
  <si>
    <t>ETS Allowance Price [USD/tonne CO2e]</t>
  </si>
  <si>
    <t>Use Pietzcker et al., 2021 EUA Forecast?</t>
  </si>
  <si>
    <t>Pietzcker et al., 2021</t>
  </si>
  <si>
    <t>Sources:</t>
  </si>
  <si>
    <t>MMMCZCS, 2024</t>
  </si>
  <si>
    <t>LR &amp; UMAS, 2020</t>
  </si>
  <si>
    <t>FuelEU Article 4(2)</t>
  </si>
  <si>
    <t>Results Comparing Business as Usual (BAU) with Sustainable Marine Fuel (SMF)</t>
  </si>
  <si>
    <t>Fuel Emissions Factors</t>
  </si>
  <si>
    <t>LSFO (HFO)</t>
  </si>
  <si>
    <t>FAME (Waste Cooking Oil)</t>
  </si>
  <si>
    <t>Alternative</t>
  </si>
  <si>
    <t>Source</t>
  </si>
  <si>
    <t>Note</t>
  </si>
  <si>
    <t>FuelEU WtW EF (gCO2e/MJ)</t>
  </si>
  <si>
    <t>FuelEU Annex II</t>
  </si>
  <si>
    <t>Lower Calorific Value (MJ/g)</t>
  </si>
  <si>
    <t>use LSFO-eq</t>
  </si>
  <si>
    <t>LSFO: FuelEU Annex II; Biodiesel: RED Annex III</t>
  </si>
  <si>
    <t>EU ETS TtW EF (gCO2e/MJ)</t>
  </si>
  <si>
    <t>MRV Delegated Regulation Annex II (1.2)</t>
  </si>
  <si>
    <t>Note: We simplify the ETS EF for the Alternative to be 0 CO2e, however, there will be TtW emissions from CH4 and N2O</t>
  </si>
  <si>
    <t>FuelEU Parameters</t>
  </si>
  <si>
    <t>Parameters</t>
  </si>
  <si>
    <t>Unit</t>
  </si>
  <si>
    <t>Value</t>
  </si>
  <si>
    <t>RED Comparator</t>
  </si>
  <si>
    <t>RED Annex III (C(19))</t>
  </si>
  <si>
    <t>According to RED for transport fuels, the fossil fuel comparator EF(t) shall be 94 g
CO2eq/MJ</t>
  </si>
  <si>
    <t>FuelEU Reference Value</t>
  </si>
  <si>
    <t>Intensity reduction targets are based on this value</t>
  </si>
  <si>
    <t>FuelEU Penalty in tonnes fuel</t>
  </si>
  <si>
    <t>EUR/tonne VLSFOeq</t>
  </si>
  <si>
    <t>FuelEU Annex IV</t>
  </si>
  <si>
    <t>Non-compliance in tons of VLSFO x 2400</t>
  </si>
  <si>
    <t>USD per EUR</t>
  </si>
  <si>
    <t>USD/EUR</t>
  </si>
  <si>
    <t>ECB, 2024</t>
  </si>
  <si>
    <t>European Central Bank: March 2014 to March 2024</t>
  </si>
  <si>
    <t>LSFO Penalty per tCO2e deficit</t>
  </si>
  <si>
    <t>USD/tonne CO2e deficit</t>
  </si>
  <si>
    <t>Penalty / (LSFO tonnesCO2 /tonnes fuel)</t>
  </si>
  <si>
    <t>EUR penalty per tonne of fuel, converted to cost per tonne CO2e, converted to USD</t>
  </si>
  <si>
    <t>Model Inputs</t>
  </si>
  <si>
    <t>FuelEU Target</t>
  </si>
  <si>
    <t>Source or Calculation</t>
  </si>
  <si>
    <t>Units</t>
  </si>
  <si>
    <t>Target Emissions Factor</t>
  </si>
  <si>
    <t>g/MJ</t>
  </si>
  <si>
    <t>Emissions Factor (gCO2e/MJ)</t>
  </si>
  <si>
    <t>We use LSFO as our BAU fuel</t>
  </si>
  <si>
    <t>Emissions Factor (tonnes CO2e/GJ)</t>
  </si>
  <si>
    <t>g/MJ / 1000</t>
  </si>
  <si>
    <t>tonnes/GJ</t>
  </si>
  <si>
    <t>Convered to tonnes CO2e per GJ</t>
  </si>
  <si>
    <t>Fuel Cost</t>
  </si>
  <si>
    <t>Biodiesel</t>
  </si>
  <si>
    <t>Based on waste cooking oil FAME</t>
  </si>
  <si>
    <t>Sustainable Marine Fuel (SMF)</t>
  </si>
  <si>
    <t>Reduction % x 94</t>
  </si>
  <si>
    <t>User input above</t>
  </si>
  <si>
    <t>converted from LSFO-eq to USD/GJ</t>
  </si>
  <si>
    <t>Converted to USD/GJ</t>
  </si>
  <si>
    <t>1. Cost of BAU</t>
  </si>
  <si>
    <t>Biodiesel Compliance Cost</t>
  </si>
  <si>
    <t>Biodiesel cost premium</t>
  </si>
  <si>
    <t>bio USD - LSFO USD</t>
  </si>
  <si>
    <t>Biodiesel additional cost per GJ</t>
  </si>
  <si>
    <t>Biodiesel abatement per GJ</t>
  </si>
  <si>
    <t>bio EF - LSFO EF</t>
  </si>
  <si>
    <t>tCO2e abatement/GJ</t>
  </si>
  <si>
    <t>LSFO tonnes abatement required per GJ</t>
  </si>
  <si>
    <t>target - LSFO actual</t>
  </si>
  <si>
    <t>Required reduction to comply</t>
  </si>
  <si>
    <t>Share of biodiesel per GJ</t>
  </si>
  <si>
    <t>Required abatement / reduction of bio</t>
  </si>
  <si>
    <t>% per GJ</t>
  </si>
  <si>
    <t>Min share of biodiesel to meet target</t>
  </si>
  <si>
    <t>Biodiesel blend abatement cost</t>
  </si>
  <si>
    <t>Cost diff/EF diff</t>
  </si>
  <si>
    <t>USD/tCO2e abatement</t>
  </si>
  <si>
    <t>Additional cost per t of abatement</t>
  </si>
  <si>
    <t>FuelEU Required CO2e abatement</t>
  </si>
  <si>
    <t>Target - LSFO actual (converted)</t>
  </si>
  <si>
    <t>tCO2e abatement/t fuel</t>
  </si>
  <si>
    <t>The abatement needed (factors in a blended LCV)</t>
  </si>
  <si>
    <t>Biodiesel blend abatement cost per tonne of LSFO</t>
  </si>
  <si>
    <t>Abatement cost / emissions per tonne of fuel</t>
  </si>
  <si>
    <t>USD/tonne of LSFO fuel</t>
  </si>
  <si>
    <t>Additional biodiesel cost to achieve target CO2e reduction</t>
  </si>
  <si>
    <t>FuelEU Penalty Cost</t>
  </si>
  <si>
    <t>Penalty abatement cost</t>
  </si>
  <si>
    <t>Penalty / (LSFO EF converted to tonnes VLSFO)</t>
  </si>
  <si>
    <t>Cost per t of abatement via penalty</t>
  </si>
  <si>
    <t>The required reduction in tonnes CO2e per tonne of LSFO</t>
  </si>
  <si>
    <t>FuelEU Penalty cost</t>
  </si>
  <si>
    <t>The penalty for each tonne of fuel</t>
  </si>
  <si>
    <t>Biodiesel blend cost</t>
  </si>
  <si>
    <t>TtW emissions</t>
  </si>
  <si>
    <t>LSFO x TtW CO2e</t>
  </si>
  <si>
    <t>TtW tCO2e/t fuel</t>
  </si>
  <si>
    <t>TtW emissions if not blending bio</t>
  </si>
  <si>
    <t>TtW emissions with biodiesel blend</t>
  </si>
  <si>
    <t>(Share LSFO x TtW CO2e) + (Share biodiesel x TtW CO2e)</t>
  </si>
  <si>
    <t>TtW emissions if biodiesel blended to meet FuelEU target</t>
  </si>
  <si>
    <t>USD/TtW tCO2e</t>
  </si>
  <si>
    <t>We account for the reduced TtW emissions due to biodiesel blending</t>
  </si>
  <si>
    <t>ETS savings with biodiesel blend</t>
  </si>
  <si>
    <t>TtW emissions reduction x ETS price</t>
  </si>
  <si>
    <t>USD/tonne of fuel</t>
  </si>
  <si>
    <t>Reduction in ETS costs due to blend</t>
  </si>
  <si>
    <t>Biodiesel blend cost with ETS savings</t>
  </si>
  <si>
    <t>Bioblend cost - ETS savings</t>
  </si>
  <si>
    <t>Additional costs to blend biodiesel - savings from ETS reduction</t>
  </si>
  <si>
    <t>What is the cheapest compliance option for BAU?</t>
  </si>
  <si>
    <t>&lt;-- Minimum between the biodiesel blend cost and FuelEU penalty above</t>
  </si>
  <si>
    <t>Min of biodiesel and penalty</t>
  </si>
  <si>
    <t>Used as the cost of FuelEU Compliance for BAU</t>
  </si>
  <si>
    <t>BAU fuel costs with FuelEU and ETS</t>
  </si>
  <si>
    <t>LSFO cost</t>
  </si>
  <si>
    <t>USD/t fuel</t>
  </si>
  <si>
    <t>Min cost compliance option</t>
  </si>
  <si>
    <t>Minimum between biodiesel and penalty</t>
  </si>
  <si>
    <t>ETS Costs</t>
  </si>
  <si>
    <t>Price x TtW emissions</t>
  </si>
  <si>
    <t>Costs with lower TtW emissions blending</t>
  </si>
  <si>
    <t>Total</t>
  </si>
  <si>
    <t>fuel cost + compliance cost</t>
  </si>
  <si>
    <t>2. Cost of Minimum Share SMF to Meet FuelEU Target</t>
  </si>
  <si>
    <t>Sustainable Marine Fuel Compliance Cost</t>
  </si>
  <si>
    <t>SMF cost premium</t>
  </si>
  <si>
    <t>SMF USD - LSFO USD</t>
  </si>
  <si>
    <t>SMF WtW abatement per GJ</t>
  </si>
  <si>
    <t>SMF EF - LSFO EF</t>
  </si>
  <si>
    <t>Share of SMF per GJ</t>
  </si>
  <si>
    <t>Required abatement / reduction of SMF</t>
  </si>
  <si>
    <t>Min share of SMF to meet target</t>
  </si>
  <si>
    <t>SMF abatement cost</t>
  </si>
  <si>
    <t>SMF abatement cost per tonne of LSFO</t>
  </si>
  <si>
    <t>Abatement premium x emissions per tonne of fuel</t>
  </si>
  <si>
    <t>Converted to cost per tonne of fuel</t>
  </si>
  <si>
    <t>Conventional fuel costs with min share of SMF to meet FuelEU target</t>
  </si>
  <si>
    <t>Using TtW emissions when the fuel is compliant with GFS -- same as those used for blending biodiesel</t>
  </si>
  <si>
    <t>3. Cost of using 100% SMF with Pooling Benefits</t>
  </si>
  <si>
    <t>Surplus Value</t>
  </si>
  <si>
    <t>Price per allowance (based on TtW)</t>
  </si>
  <si>
    <t>ETS Savings converted to 1 tonne WtW abatement</t>
  </si>
  <si>
    <t>ETS price x (TtW/WtW)</t>
  </si>
  <si>
    <t>USD/WtW tCO2e</t>
  </si>
  <si>
    <t>Account for the fact that the savings is only for the TtW portion of abatement</t>
  </si>
  <si>
    <t>FuelEU Market compliance cost per tonne of abatement</t>
  </si>
  <si>
    <t>Minimum: (Blend - ETS) or (Penalty)</t>
  </si>
  <si>
    <t>USD/tonne WtW abatement CO2e</t>
  </si>
  <si>
    <t>Conventional vessels will choose the cheapest between 1) additional cost to blend bio with savings on their ETS costs, or 2) the penalty</t>
  </si>
  <si>
    <t>Value of a surplus tonne of abatement</t>
  </si>
  <si>
    <t>Compliance cost x pooling premium</t>
  </si>
  <si>
    <t>USD/tonne abatement CO2e</t>
  </si>
  <si>
    <t>Applies premium from Input 1 to determine if price is at, above, or below the market cost</t>
  </si>
  <si>
    <t>SMF pooling surplus value</t>
  </si>
  <si>
    <t>SMF fuel cost</t>
  </si>
  <si>
    <t>USD/tLSFO-eq</t>
  </si>
  <si>
    <t>SMF WtW emissions factor</t>
  </si>
  <si>
    <t>94 x reduction</t>
  </si>
  <si>
    <t>gCO2e/MJ</t>
  </si>
  <si>
    <t>Note: We simplify the ETS EF to be 0 CO2e, however, it has TtW emissions from CH4 and N2O</t>
  </si>
  <si>
    <t>SMF WtW emissions factor with RFNBO Multiplier (&lt;2033)</t>
  </si>
  <si>
    <t>EF/2</t>
  </si>
  <si>
    <t>Applies to the MJ denominator</t>
  </si>
  <si>
    <t>SMF surplus intensity</t>
  </si>
  <si>
    <t>FuelEU Target - SMF EF</t>
  </si>
  <si>
    <t>Note: negative values is a deficit that must be reduced</t>
  </si>
  <si>
    <t>Convert to abatement per tonne of LSFO-eq</t>
  </si>
  <si>
    <t>SMF surplus x LSFO LCV</t>
  </si>
  <si>
    <t>tCO2e/tLSFO-eq</t>
  </si>
  <si>
    <t>The surplus CO2e per tonne of fuel (in LSFO-eq)</t>
  </si>
  <si>
    <t>Number of equal ships that can pool</t>
  </si>
  <si>
    <t>SMF fuel surplus / LSFO deficit</t>
  </si>
  <si>
    <t>Ships</t>
  </si>
  <si>
    <t>Max ships with identical consumption that can be pooled</t>
  </si>
  <si>
    <t xml:space="preserve">Surplus value </t>
  </si>
  <si>
    <t>Abatement x surplus value</t>
  </si>
  <si>
    <t>Note: or deficit in the case of negative</t>
  </si>
  <si>
    <t>Cost after pooling</t>
  </si>
  <si>
    <t>SMF fuel cost - surplus value</t>
  </si>
  <si>
    <t>If all surplus sold, the remaining fuel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</si>
</sst>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54">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1"/>
      <color theme="1" tint="0.34998626667073579"/>
      <name val="Aptos Narrow"/>
      <family val="2"/>
      <scheme val="minor"/>
    </font>
    <font>
      <i/>
      <sz val="10"/>
      <color theme="1"/>
      <name val="Aptos Narrow"/>
      <family val="2"/>
      <scheme val="minor"/>
    </font>
    <font>
      <b/>
      <sz val="14"/>
      <color theme="0"/>
      <name val="Aptos Narrow"/>
      <family val="2"/>
      <scheme val="minor"/>
    </font>
    <font>
      <b/>
      <sz val="14"/>
      <color theme="0"/>
      <name val="Aptos Narrow"/>
      <family val="2"/>
    </font>
    <font>
      <b/>
      <sz val="18"/>
      <color theme="0"/>
      <name val="Aptos Display"/>
      <family val="2"/>
      <scheme val="major"/>
    </font>
    <font>
      <b/>
      <sz val="18"/>
      <color theme="1"/>
      <name val="Aptos Display"/>
      <family val="2"/>
      <scheme val="major"/>
    </font>
    <font>
      <sz val="9"/>
      <color theme="1"/>
      <name val="Aptos Narrow"/>
      <family val="2"/>
      <scheme val="minor"/>
    </font>
    <font>
      <b/>
      <sz val="9"/>
      <color theme="1"/>
      <name val="Aptos Narrow"/>
      <family val="2"/>
      <scheme val="minor"/>
    </font>
    <font>
      <sz val="10"/>
      <color theme="1"/>
      <name val="Aktiv Grotesk Light"/>
      <family val="2"/>
    </font>
    <font>
      <sz val="12"/>
      <color theme="1"/>
      <name val="Aptos Narrow"/>
      <family val="2"/>
      <scheme val="minor"/>
    </font>
    <font>
      <sz val="12"/>
      <color theme="0"/>
      <name val="Aptos Narrow"/>
      <family val="2"/>
      <scheme val="minor"/>
    </font>
    <font>
      <b/>
      <sz val="12"/>
      <color theme="0"/>
      <name val="Aptos Narrow"/>
      <family val="2"/>
      <scheme val="minor"/>
    </font>
    <font>
      <sz val="14"/>
      <color theme="0"/>
      <name val="Aptos Narrow"/>
      <family val="2"/>
      <scheme val="minor"/>
    </font>
    <font>
      <b/>
      <sz val="11"/>
      <color rgb="FF3C5E86"/>
      <name val="Aptos Narrow"/>
      <family val="2"/>
      <scheme val="minor"/>
    </font>
    <font>
      <b/>
      <i/>
      <sz val="11"/>
      <color rgb="FF3C5E86"/>
      <name val="Aptos Narrow"/>
      <family val="2"/>
      <scheme val="minor"/>
    </font>
    <font>
      <b/>
      <sz val="11"/>
      <color theme="0" tint="-0.34998626667073579"/>
      <name val="Aptos Narrow"/>
      <family val="2"/>
      <scheme val="minor"/>
    </font>
    <font>
      <i/>
      <sz val="11"/>
      <color rgb="FF3C5E86"/>
      <name val="Aptos Narrow"/>
      <family val="2"/>
      <scheme val="minor"/>
    </font>
    <font>
      <i/>
      <sz val="11"/>
      <color theme="0" tint="-0.34998626667073579"/>
      <name val="Aptos Narrow"/>
      <family val="2"/>
      <scheme val="minor"/>
    </font>
    <font>
      <i/>
      <sz val="11"/>
      <color theme="1" tint="0.499984740745262"/>
      <name val="Aptos Narrow"/>
      <family val="2"/>
      <scheme val="minor"/>
    </font>
    <font>
      <sz val="18"/>
      <color theme="0"/>
      <name val="Aptos Display"/>
      <family val="2"/>
      <scheme val="major"/>
    </font>
    <font>
      <b/>
      <sz val="14"/>
      <color theme="1" tint="0.249977111117893"/>
      <name val="Aptos Narrow"/>
      <family val="2"/>
      <scheme val="minor"/>
    </font>
    <font>
      <b/>
      <sz val="11"/>
      <color rgb="FFB8E0C2"/>
      <name val="Aptos Narrow"/>
      <family val="2"/>
      <scheme val="minor"/>
    </font>
    <font>
      <i/>
      <sz val="11"/>
      <color theme="1"/>
      <name val="Aptos Narrow"/>
      <family val="2"/>
      <scheme val="minor"/>
    </font>
    <font>
      <i/>
      <sz val="12"/>
      <color theme="8" tint="-0.499984740745262"/>
      <name val="Aptos Narrow"/>
      <family val="2"/>
      <scheme val="minor"/>
    </font>
    <font>
      <i/>
      <sz val="12"/>
      <color rgb="FF4C7870"/>
      <name val="Aptos Narrow"/>
      <family val="2"/>
      <scheme val="minor"/>
    </font>
    <font>
      <sz val="11"/>
      <color theme="0" tint="-4.9989318521683403E-2"/>
      <name val="Aptos Narrow"/>
      <family val="2"/>
      <scheme val="minor"/>
    </font>
    <font>
      <u/>
      <sz val="11"/>
      <color rgb="FFB8E0C2"/>
      <name val="Aptos Narrow"/>
      <family val="2"/>
      <scheme val="minor"/>
    </font>
    <font>
      <sz val="8"/>
      <color theme="0"/>
      <name val="Aptos Narrow"/>
      <family val="2"/>
      <scheme val="minor"/>
    </font>
    <font>
      <i/>
      <sz val="9"/>
      <color theme="0" tint="-0.499984740745262"/>
      <name val="Aptos Narrow"/>
      <family val="2"/>
      <scheme val="minor"/>
    </font>
    <font>
      <u/>
      <sz val="9"/>
      <color theme="0" tint="-0.499984740745262"/>
      <name val="Aptos Narrow"/>
      <family val="2"/>
      <scheme val="minor"/>
    </font>
    <font>
      <sz val="9"/>
      <color theme="0" tint="-0.499984740745262"/>
      <name val="Aptos Narrow"/>
      <family val="2"/>
      <scheme val="minor"/>
    </font>
    <font>
      <b/>
      <sz val="12"/>
      <color theme="1"/>
      <name val="Aptos Narrow"/>
      <family val="2"/>
      <scheme val="minor"/>
    </font>
    <font>
      <sz val="12"/>
      <color rgb="FF3C5E86"/>
      <name val="Aptos Narrow"/>
      <family val="2"/>
      <scheme val="minor"/>
    </font>
    <font>
      <i/>
      <sz val="12"/>
      <color theme="0" tint="-0.499984740745262"/>
      <name val="Aptos Narrow"/>
      <family val="2"/>
      <scheme val="minor"/>
    </font>
    <font>
      <i/>
      <sz val="8"/>
      <color theme="1" tint="0.499984740745262"/>
      <name val="Aptos Narrow"/>
      <family val="2"/>
      <scheme val="minor"/>
    </font>
    <font>
      <sz val="11"/>
      <color theme="0" tint="-0.14999847407452621"/>
      <name val="Aptos Narrow"/>
      <family val="2"/>
      <scheme val="minor"/>
    </font>
    <font>
      <sz val="11"/>
      <color theme="0" tint="-0.249977111117893"/>
      <name val="Aptos Narrow"/>
      <family val="2"/>
      <scheme val="minor"/>
    </font>
    <font>
      <sz val="9"/>
      <color theme="0"/>
      <name val="Aptos Narrow"/>
      <family val="2"/>
      <scheme val="minor"/>
    </font>
    <font>
      <sz val="16"/>
      <color theme="0"/>
      <name val="Aptos Display"/>
      <family val="2"/>
      <scheme val="major"/>
    </font>
    <font>
      <b/>
      <i/>
      <sz val="11"/>
      <color theme="0"/>
      <name val="Aptos Narrow"/>
      <family val="2"/>
      <scheme val="minor"/>
    </font>
    <font>
      <i/>
      <u/>
      <sz val="8"/>
      <color theme="10"/>
      <name val="Aptos Narrow"/>
      <family val="2"/>
      <scheme val="minor"/>
    </font>
    <font>
      <b/>
      <i/>
      <sz val="10"/>
      <color theme="0"/>
      <name val="Aptos Narrow"/>
      <family val="2"/>
      <scheme val="minor"/>
    </font>
    <font>
      <b/>
      <i/>
      <sz val="11"/>
      <color theme="1"/>
      <name val="Aptos Narrow"/>
      <family val="2"/>
      <scheme val="minor"/>
    </font>
    <font>
      <b/>
      <i/>
      <sz val="10"/>
      <color theme="1"/>
      <name val="Aptos Narrow"/>
      <family val="2"/>
      <scheme val="minor"/>
    </font>
    <font>
      <sz val="11"/>
      <color theme="1"/>
      <name val="Aktiv Grotesk Light"/>
      <family val="2"/>
    </font>
    <font>
      <sz val="10"/>
      <color theme="1"/>
      <name val="Aptos Narrow"/>
      <family val="2"/>
      <scheme val="minor"/>
    </font>
    <font>
      <b/>
      <sz val="9"/>
      <color indexed="81"/>
      <name val="Tahoma"/>
      <family val="2"/>
    </font>
    <font>
      <sz val="9"/>
      <color indexed="81"/>
      <name val="Tahoma"/>
      <family val="2"/>
    </font>
  </fonts>
  <fills count="13">
    <fill>
      <patternFill patternType="none"/>
    </fill>
    <fill>
      <patternFill patternType="gray125"/>
    </fill>
    <fill>
      <patternFill patternType="solid">
        <fgColor theme="0" tint="-4.9989318521683403E-2"/>
        <bgColor indexed="64"/>
      </patternFill>
    </fill>
    <fill>
      <patternFill patternType="solid">
        <fgColor rgb="FF4C7870"/>
        <bgColor indexed="64"/>
      </patternFill>
    </fill>
    <fill>
      <patternFill patternType="solid">
        <fgColor rgb="FF3C5E8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5E948A"/>
        <bgColor indexed="64"/>
      </patternFill>
    </fill>
    <fill>
      <patternFill patternType="solid">
        <fgColor theme="8" tint="0.79998168889431442"/>
        <bgColor indexed="64"/>
      </patternFill>
    </fill>
    <fill>
      <patternFill patternType="solid">
        <fgColor rgb="FFBFD7D2"/>
        <bgColor indexed="64"/>
      </patternFill>
    </fill>
    <fill>
      <patternFill patternType="solid">
        <fgColor rgb="FFD7E5E2"/>
        <bgColor indexed="64"/>
      </patternFill>
    </fill>
    <fill>
      <patternFill patternType="solid">
        <fgColor rgb="FFE8F0EE"/>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7F7F7F"/>
      </left>
      <right style="double">
        <color rgb="FF7F7F7F"/>
      </right>
      <top style="double">
        <color rgb="FF7F7F7F"/>
      </top>
      <bottom style="double">
        <color rgb="FF7F7F7F"/>
      </bottom>
      <diagonal/>
    </border>
    <border>
      <left/>
      <right/>
      <top style="double">
        <color rgb="FF7F7F7F"/>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9" fillId="9" borderId="11"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40">
    <xf numFmtId="0" fontId="0" fillId="0" borderId="0" xfId="0"/>
    <xf numFmtId="0" fontId="0" fillId="2" borderId="0" xfId="0" applyFill="1"/>
    <xf numFmtId="0" fontId="6" fillId="2" borderId="0" xfId="0" applyFont="1" applyFill="1" applyAlignment="1">
      <alignment vertical="center"/>
    </xf>
    <xf numFmtId="0" fontId="7" fillId="2" borderId="0" xfId="0" applyFont="1" applyFill="1" applyAlignment="1">
      <alignment horizontal="center" vertical="center"/>
    </xf>
    <xf numFmtId="0" fontId="0" fillId="3" borderId="0" xfId="0" applyFill="1"/>
    <xf numFmtId="0" fontId="8" fillId="4" borderId="0" xfId="0" applyFont="1" applyFill="1" applyAlignment="1">
      <alignment horizontal="center" vertical="center" textRotation="90"/>
    </xf>
    <xf numFmtId="0" fontId="0" fillId="5" borderId="0" xfId="0" applyFill="1"/>
    <xf numFmtId="0" fontId="2" fillId="3" borderId="0" xfId="0" applyFont="1" applyFill="1"/>
    <xf numFmtId="0" fontId="10" fillId="3" borderId="0" xfId="0" applyFont="1" applyFill="1"/>
    <xf numFmtId="0" fontId="11" fillId="5" borderId="0" xfId="0" applyFont="1" applyFill="1"/>
    <xf numFmtId="0" fontId="3" fillId="5" borderId="0" xfId="0" applyFont="1" applyFill="1"/>
    <xf numFmtId="0" fontId="14" fillId="5" borderId="0" xfId="0" applyFont="1" applyFill="1" applyAlignment="1">
      <alignment vertical="center"/>
    </xf>
    <xf numFmtId="0" fontId="15" fillId="5" borderId="0" xfId="0" applyFont="1" applyFill="1" applyAlignment="1">
      <alignment vertical="center"/>
    </xf>
    <xf numFmtId="0" fontId="18" fillId="6" borderId="4" xfId="0" applyFont="1" applyFill="1" applyBorder="1" applyAlignment="1">
      <alignment horizontal="center" vertical="center"/>
    </xf>
    <xf numFmtId="0" fontId="19" fillId="5" borderId="5" xfId="0" applyFont="1" applyFill="1" applyBorder="1" applyAlignment="1">
      <alignment wrapText="1"/>
    </xf>
    <xf numFmtId="0" fontId="20" fillId="5" borderId="0" xfId="0" applyFont="1" applyFill="1" applyAlignment="1">
      <alignment wrapText="1"/>
    </xf>
    <xf numFmtId="0" fontId="19" fillId="5" borderId="0" xfId="0" applyFont="1" applyFill="1" applyAlignment="1">
      <alignment wrapText="1"/>
    </xf>
    <xf numFmtId="0" fontId="20" fillId="5" borderId="6" xfId="0" applyFont="1" applyFill="1" applyBorder="1" applyAlignment="1">
      <alignment wrapText="1"/>
    </xf>
    <xf numFmtId="0" fontId="19" fillId="5" borderId="6" xfId="0" applyFont="1" applyFill="1" applyBorder="1" applyAlignment="1">
      <alignment wrapText="1"/>
    </xf>
    <xf numFmtId="0" fontId="19" fillId="5" borderId="7" xfId="0" applyFont="1" applyFill="1" applyBorder="1" applyAlignment="1">
      <alignment wrapText="1"/>
    </xf>
    <xf numFmtId="0" fontId="21" fillId="7" borderId="0" xfId="0" applyFont="1" applyFill="1"/>
    <xf numFmtId="0" fontId="22" fillId="5" borderId="8" xfId="0" applyFont="1" applyFill="1" applyBorder="1" applyAlignment="1">
      <alignment vertical="center"/>
    </xf>
    <xf numFmtId="0" fontId="22" fillId="5" borderId="9" xfId="0" applyFont="1" applyFill="1" applyBorder="1" applyAlignment="1">
      <alignment vertical="center"/>
    </xf>
    <xf numFmtId="0" fontId="22" fillId="5" borderId="10" xfId="0" applyFont="1" applyFill="1" applyBorder="1" applyAlignment="1">
      <alignment vertical="center"/>
    </xf>
    <xf numFmtId="0" fontId="23" fillId="7" borderId="0" xfId="0" applyFont="1" applyFill="1"/>
    <xf numFmtId="9" fontId="23" fillId="0" borderId="0" xfId="1" applyFont="1"/>
    <xf numFmtId="0" fontId="19" fillId="5" borderId="0" xfId="0" applyFont="1" applyFill="1"/>
    <xf numFmtId="2" fontId="0" fillId="5" borderId="5" xfId="0" applyNumberFormat="1" applyFill="1" applyBorder="1"/>
    <xf numFmtId="2" fontId="24" fillId="5" borderId="0" xfId="0" applyNumberFormat="1" applyFont="1" applyFill="1"/>
    <xf numFmtId="2" fontId="0" fillId="5" borderId="0" xfId="0" applyNumberFormat="1" applyFill="1"/>
    <xf numFmtId="2" fontId="24" fillId="5" borderId="6" xfId="0" applyNumberFormat="1" applyFont="1" applyFill="1" applyBorder="1"/>
    <xf numFmtId="9" fontId="0" fillId="5" borderId="5" xfId="1" applyFont="1" applyFill="1" applyBorder="1"/>
    <xf numFmtId="1" fontId="0" fillId="5" borderId="0" xfId="0" applyNumberFormat="1" applyFill="1"/>
    <xf numFmtId="1" fontId="0" fillId="5" borderId="6" xfId="0" applyNumberFormat="1" applyFill="1" applyBorder="1"/>
    <xf numFmtId="2" fontId="0" fillId="5" borderId="7" xfId="0" applyNumberFormat="1" applyFill="1" applyBorder="1"/>
    <xf numFmtId="0" fontId="25" fillId="3" borderId="0" xfId="0" applyFont="1" applyFill="1"/>
    <xf numFmtId="0" fontId="8" fillId="8" borderId="0" xfId="0" applyFont="1" applyFill="1" applyAlignment="1">
      <alignment vertical="center"/>
    </xf>
    <xf numFmtId="0" fontId="26" fillId="8" borderId="0" xfId="0" applyFont="1" applyFill="1" applyAlignment="1">
      <alignment vertical="center"/>
    </xf>
    <xf numFmtId="0" fontId="27" fillId="8" borderId="0" xfId="0" applyFont="1" applyFill="1" applyAlignment="1">
      <alignment vertical="center"/>
    </xf>
    <xf numFmtId="0" fontId="26" fillId="8" borderId="0" xfId="0" applyFont="1" applyFill="1"/>
    <xf numFmtId="0" fontId="28" fillId="0" borderId="0" xfId="0" applyFont="1"/>
    <xf numFmtId="0" fontId="30" fillId="10" borderId="11" xfId="2" applyFont="1" applyFill="1" applyAlignment="1">
      <alignment horizontal="center" vertical="center"/>
    </xf>
    <xf numFmtId="0" fontId="4" fillId="3" borderId="0" xfId="0" applyFont="1" applyFill="1"/>
    <xf numFmtId="0" fontId="31" fillId="3" borderId="0" xfId="0" applyFont="1" applyFill="1" applyAlignment="1">
      <alignment vertical="center" wrapText="1"/>
    </xf>
    <xf numFmtId="0" fontId="8" fillId="3" borderId="0" xfId="0" applyFont="1" applyFill="1"/>
    <xf numFmtId="9" fontId="30" fillId="10" borderId="11" xfId="1" applyFont="1" applyFill="1" applyBorder="1" applyAlignment="1">
      <alignment horizontal="center" vertical="center"/>
    </xf>
    <xf numFmtId="0" fontId="32" fillId="3" borderId="0" xfId="3" applyFont="1" applyFill="1"/>
    <xf numFmtId="0" fontId="7" fillId="3" borderId="0" xfId="0" applyFont="1" applyFill="1" applyAlignment="1">
      <alignment horizontal="center" vertical="center"/>
    </xf>
    <xf numFmtId="0" fontId="7" fillId="3" borderId="0" xfId="0" quotePrefix="1" applyFont="1" applyFill="1" applyAlignment="1">
      <alignment horizontal="center" vertical="center"/>
    </xf>
    <xf numFmtId="2" fontId="0" fillId="5" borderId="13" xfId="0" applyNumberFormat="1" applyFill="1" applyBorder="1"/>
    <xf numFmtId="2" fontId="24" fillId="5" borderId="14" xfId="0" applyNumberFormat="1" applyFont="1" applyFill="1" applyBorder="1"/>
    <xf numFmtId="2" fontId="0" fillId="5" borderId="14" xfId="0" applyNumberFormat="1" applyFill="1" applyBorder="1"/>
    <xf numFmtId="2" fontId="24" fillId="5" borderId="15" xfId="0" applyNumberFormat="1" applyFont="1" applyFill="1" applyBorder="1"/>
    <xf numFmtId="9" fontId="0" fillId="5" borderId="13" xfId="1" applyFont="1" applyFill="1" applyBorder="1"/>
    <xf numFmtId="1" fontId="0" fillId="5" borderId="14" xfId="0" applyNumberFormat="1" applyFill="1" applyBorder="1"/>
    <xf numFmtId="1" fontId="0" fillId="5" borderId="15" xfId="0" applyNumberFormat="1" applyFill="1" applyBorder="1"/>
    <xf numFmtId="2" fontId="0" fillId="5" borderId="16" xfId="0" applyNumberFormat="1" applyFill="1" applyBorder="1"/>
    <xf numFmtId="0" fontId="34" fillId="5" borderId="0" xfId="0" applyFont="1" applyFill="1" applyAlignment="1">
      <alignment horizontal="right"/>
    </xf>
    <xf numFmtId="0" fontId="35" fillId="5" borderId="0" xfId="4" applyFont="1" applyFill="1" applyBorder="1" applyAlignment="1">
      <alignment vertical="center"/>
    </xf>
    <xf numFmtId="0" fontId="36" fillId="5" borderId="0" xfId="0" applyFont="1" applyFill="1"/>
    <xf numFmtId="0" fontId="34" fillId="5" borderId="0" xfId="0" applyFont="1" applyFill="1"/>
    <xf numFmtId="0" fontId="0" fillId="3" borderId="0" xfId="0" quotePrefix="1" applyFill="1"/>
    <xf numFmtId="0" fontId="37" fillId="5" borderId="0" xfId="0" applyFont="1" applyFill="1"/>
    <xf numFmtId="0" fontId="16" fillId="3" borderId="0" xfId="0" applyFont="1" applyFill="1" applyAlignment="1">
      <alignment vertical="top" wrapText="1"/>
    </xf>
    <xf numFmtId="0" fontId="15" fillId="5" borderId="0" xfId="0" applyFont="1" applyFill="1" applyAlignment="1">
      <alignment horizontal="left"/>
    </xf>
    <xf numFmtId="0" fontId="38" fillId="5" borderId="0" xfId="0" applyFont="1" applyFill="1" applyAlignment="1">
      <alignment horizontal="left" wrapText="1"/>
    </xf>
    <xf numFmtId="0" fontId="39" fillId="5" borderId="0" xfId="0" applyFont="1" applyFill="1" applyAlignment="1">
      <alignment horizontal="left"/>
    </xf>
    <xf numFmtId="0" fontId="19" fillId="5" borderId="0" xfId="0" applyFont="1" applyFill="1" applyAlignment="1">
      <alignment horizontal="right"/>
    </xf>
    <xf numFmtId="0" fontId="35" fillId="5" borderId="0" xfId="4" applyFont="1" applyFill="1" applyBorder="1" applyAlignment="1">
      <alignment horizontal="left" vertical="center"/>
    </xf>
    <xf numFmtId="164" fontId="0" fillId="5" borderId="0" xfId="0" applyNumberFormat="1" applyFill="1"/>
    <xf numFmtId="165" fontId="0" fillId="5" borderId="0" xfId="0" applyNumberFormat="1" applyFill="1"/>
    <xf numFmtId="165" fontId="28" fillId="5" borderId="0" xfId="0" applyNumberFormat="1" applyFont="1" applyFill="1"/>
    <xf numFmtId="0" fontId="0" fillId="5" borderId="0" xfId="0" applyFill="1" applyAlignment="1">
      <alignment vertical="center"/>
    </xf>
    <xf numFmtId="0" fontId="19" fillId="5" borderId="0" xfId="0" applyFont="1" applyFill="1" applyAlignment="1">
      <alignment horizontal="right" vertical="center"/>
    </xf>
    <xf numFmtId="2" fontId="0" fillId="5" borderId="0" xfId="0" applyNumberFormat="1" applyFill="1" applyAlignment="1">
      <alignment vertical="center"/>
    </xf>
    <xf numFmtId="0" fontId="41" fillId="5" borderId="0" xfId="0" applyFont="1" applyFill="1"/>
    <xf numFmtId="0" fontId="38" fillId="5" borderId="0" xfId="0" applyFont="1" applyFill="1" applyAlignment="1">
      <alignment wrapText="1"/>
    </xf>
    <xf numFmtId="2" fontId="24" fillId="5" borderId="0" xfId="0" applyNumberFormat="1" applyFont="1" applyFill="1" applyAlignment="1">
      <alignment horizontal="left" vertical="center"/>
    </xf>
    <xf numFmtId="0" fontId="42" fillId="5" borderId="0" xfId="0" applyFont="1" applyFill="1"/>
    <xf numFmtId="2" fontId="24" fillId="5" borderId="0" xfId="0" applyNumberFormat="1" applyFont="1" applyFill="1" applyAlignment="1">
      <alignment horizontal="left" vertical="center" wrapText="1"/>
    </xf>
    <xf numFmtId="0" fontId="35" fillId="5" borderId="0" xfId="4" applyFont="1" applyFill="1" applyBorder="1" applyAlignment="1">
      <alignment horizontal="left" vertical="center" wrapText="1"/>
    </xf>
    <xf numFmtId="0" fontId="35" fillId="5" borderId="0" xfId="4" applyFont="1" applyFill="1" applyBorder="1" applyAlignment="1">
      <alignment horizontal="center" vertical="center"/>
    </xf>
    <xf numFmtId="0" fontId="36" fillId="5" borderId="0" xfId="4" applyFont="1" applyFill="1" applyBorder="1" applyAlignment="1">
      <alignment horizontal="left" vertical="center"/>
    </xf>
    <xf numFmtId="0" fontId="0" fillId="3" borderId="0" xfId="0" applyFill="1" applyAlignment="1">
      <alignment vertical="center"/>
    </xf>
    <xf numFmtId="0" fontId="44" fillId="3" borderId="0" xfId="0" applyFont="1" applyFill="1" applyAlignment="1">
      <alignment vertical="center"/>
    </xf>
    <xf numFmtId="0" fontId="8" fillId="3" borderId="0" xfId="0" applyFont="1" applyFill="1" applyAlignment="1">
      <alignment vertical="center"/>
    </xf>
    <xf numFmtId="0" fontId="2" fillId="3" borderId="0" xfId="0" applyFont="1" applyFill="1" applyAlignment="1">
      <alignment vertical="center"/>
    </xf>
    <xf numFmtId="0" fontId="45" fillId="3" borderId="0" xfId="0" applyFont="1" applyFill="1" applyAlignment="1">
      <alignment horizontal="center" vertical="center"/>
    </xf>
    <xf numFmtId="0" fontId="45" fillId="3" borderId="0" xfId="0" applyFont="1" applyFill="1" applyAlignment="1">
      <alignment vertical="center"/>
    </xf>
    <xf numFmtId="2" fontId="2" fillId="3" borderId="0" xfId="0" applyNumberFormat="1" applyFont="1" applyFill="1" applyAlignment="1">
      <alignment vertical="center"/>
    </xf>
    <xf numFmtId="0" fontId="0" fillId="11" borderId="0" xfId="0" applyFill="1" applyAlignment="1">
      <alignment vertical="center"/>
    </xf>
    <xf numFmtId="0" fontId="46" fillId="11" borderId="0" xfId="4" applyFont="1" applyFill="1" applyBorder="1" applyAlignment="1">
      <alignment horizontal="center" vertical="center" wrapText="1"/>
    </xf>
    <xf numFmtId="0" fontId="7" fillId="11" borderId="0" xfId="0" applyFont="1" applyFill="1" applyAlignment="1">
      <alignment vertical="center"/>
    </xf>
    <xf numFmtId="2" fontId="0" fillId="12" borderId="0" xfId="0" applyNumberFormat="1" applyFill="1" applyAlignment="1">
      <alignment vertical="center"/>
    </xf>
    <xf numFmtId="0" fontId="33" fillId="3" borderId="0" xfId="0" applyFont="1" applyFill="1" applyAlignment="1">
      <alignment vertical="center"/>
    </xf>
    <xf numFmtId="0" fontId="7" fillId="11" borderId="0" xfId="0" applyFont="1" applyFill="1" applyAlignment="1">
      <alignment horizontal="center" vertical="center"/>
    </xf>
    <xf numFmtId="165" fontId="0" fillId="12" borderId="0" xfId="0" applyNumberFormat="1" applyFill="1" applyAlignment="1">
      <alignment vertical="center"/>
    </xf>
    <xf numFmtId="0" fontId="7" fillId="3" borderId="0" xfId="0" applyFont="1" applyFill="1" applyAlignment="1">
      <alignment vertical="center"/>
    </xf>
    <xf numFmtId="2" fontId="0" fillId="3" borderId="0" xfId="0" applyNumberFormat="1" applyFill="1" applyAlignment="1">
      <alignment vertical="center"/>
    </xf>
    <xf numFmtId="0" fontId="47" fillId="3" borderId="0" xfId="0" applyFont="1" applyFill="1" applyAlignment="1">
      <alignment horizontal="center" vertical="center"/>
    </xf>
    <xf numFmtId="0" fontId="47" fillId="3" borderId="0" xfId="0" applyFont="1" applyFill="1" applyAlignment="1">
      <alignment vertical="center"/>
    </xf>
    <xf numFmtId="2" fontId="0" fillId="12" borderId="0" xfId="1" applyNumberFormat="1" applyFont="1" applyFill="1" applyBorder="1" applyAlignment="1">
      <alignment vertical="center"/>
    </xf>
    <xf numFmtId="9" fontId="1" fillId="12" borderId="0" xfId="1" applyFont="1" applyFill="1" applyAlignment="1">
      <alignment vertical="center"/>
    </xf>
    <xf numFmtId="0" fontId="33" fillId="3" borderId="0" xfId="0" applyFont="1" applyFill="1" applyAlignment="1">
      <alignment vertical="center" wrapText="1"/>
    </xf>
    <xf numFmtId="0" fontId="0" fillId="11" borderId="0" xfId="0" quotePrefix="1" applyFill="1" applyAlignment="1">
      <alignment vertical="center"/>
    </xf>
    <xf numFmtId="0" fontId="7" fillId="11" borderId="0" xfId="0" applyFont="1" applyFill="1" applyAlignment="1">
      <alignment horizontal="center" vertical="center" wrapText="1"/>
    </xf>
    <xf numFmtId="0" fontId="0" fillId="3" borderId="0" xfId="0" quotePrefix="1" applyFill="1" applyAlignment="1">
      <alignment vertical="center"/>
    </xf>
    <xf numFmtId="2" fontId="0" fillId="12" borderId="0" xfId="0" quotePrefix="1" applyNumberFormat="1" applyFill="1" applyAlignment="1">
      <alignment vertical="center"/>
    </xf>
    <xf numFmtId="1" fontId="0" fillId="12" borderId="0" xfId="0" applyNumberFormat="1" applyFill="1" applyAlignment="1">
      <alignment vertical="center"/>
    </xf>
    <xf numFmtId="2" fontId="48" fillId="12" borderId="23" xfId="0" applyNumberFormat="1" applyFont="1" applyFill="1" applyBorder="1" applyAlignment="1">
      <alignment horizontal="center" vertical="center"/>
    </xf>
    <xf numFmtId="0" fontId="3" fillId="11" borderId="0" xfId="0" applyFont="1" applyFill="1" applyAlignment="1">
      <alignment vertical="center"/>
    </xf>
    <xf numFmtId="0" fontId="49" fillId="11" borderId="0" xfId="0" applyFont="1" applyFill="1" applyAlignment="1">
      <alignment horizontal="center" vertical="center"/>
    </xf>
    <xf numFmtId="0" fontId="49" fillId="11" borderId="0" xfId="0" applyFont="1" applyFill="1" applyAlignment="1">
      <alignment vertical="center"/>
    </xf>
    <xf numFmtId="1" fontId="3" fillId="12" borderId="0" xfId="0" applyNumberFormat="1" applyFont="1" applyFill="1" applyAlignment="1">
      <alignment vertical="center"/>
    </xf>
    <xf numFmtId="9" fontId="0" fillId="12" borderId="0" xfId="1" applyFont="1" applyFill="1" applyAlignment="1">
      <alignment vertical="center"/>
    </xf>
    <xf numFmtId="0" fontId="0" fillId="11" borderId="0" xfId="0" applyFill="1" applyAlignment="1">
      <alignment vertical="center" wrapText="1"/>
    </xf>
    <xf numFmtId="0" fontId="7" fillId="11" borderId="0" xfId="0" applyFont="1" applyFill="1" applyAlignment="1">
      <alignment horizontal="left" vertical="center" wrapText="1"/>
    </xf>
    <xf numFmtId="0" fontId="7" fillId="0" borderId="0" xfId="0" applyFont="1" applyAlignment="1">
      <alignment horizontal="center" vertical="center"/>
    </xf>
    <xf numFmtId="1" fontId="0" fillId="0" borderId="0" xfId="0" applyNumberFormat="1"/>
    <xf numFmtId="0" fontId="51" fillId="0" borderId="0" xfId="0" applyFont="1" applyAlignment="1">
      <alignment vertical="center" wrapText="1"/>
    </xf>
    <xf numFmtId="0" fontId="3" fillId="0" borderId="0" xfId="0" applyFont="1" applyAlignment="1">
      <alignment vertical="center"/>
    </xf>
    <xf numFmtId="2" fontId="40" fillId="5" borderId="0" xfId="0" applyNumberFormat="1" applyFont="1" applyFill="1" applyAlignment="1">
      <alignment horizontal="left" vertical="center" wrapText="1"/>
    </xf>
    <xf numFmtId="0" fontId="43" fillId="3" borderId="17" xfId="0" applyFont="1" applyFill="1" applyBorder="1" applyAlignment="1">
      <alignment horizontal="left" vertical="top" wrapText="1"/>
    </xf>
    <xf numFmtId="0" fontId="43" fillId="3" borderId="19" xfId="0" applyFont="1" applyFill="1" applyBorder="1" applyAlignment="1">
      <alignment horizontal="left" vertical="top" wrapText="1"/>
    </xf>
    <xf numFmtId="0" fontId="43" fillId="3" borderId="21" xfId="0" applyFont="1" applyFill="1" applyBorder="1" applyAlignment="1">
      <alignment horizontal="left" vertical="top" wrapText="1"/>
    </xf>
    <xf numFmtId="0" fontId="43" fillId="3" borderId="18" xfId="0" applyFont="1" applyFill="1" applyBorder="1" applyAlignment="1">
      <alignment horizontal="left" vertical="top" wrapText="1"/>
    </xf>
    <xf numFmtId="0" fontId="43" fillId="3" borderId="20" xfId="0" applyFont="1" applyFill="1" applyBorder="1" applyAlignment="1">
      <alignment horizontal="left" vertical="top" wrapText="1"/>
    </xf>
    <xf numFmtId="0" fontId="43" fillId="3" borderId="22" xfId="0" applyFont="1" applyFill="1" applyBorder="1" applyAlignment="1">
      <alignment horizontal="left" vertical="top" wrapText="1"/>
    </xf>
    <xf numFmtId="0" fontId="8" fillId="4" borderId="0" xfId="0" applyFont="1" applyFill="1" applyAlignment="1">
      <alignment horizontal="center" vertical="center" textRotation="90"/>
    </xf>
    <xf numFmtId="0" fontId="12" fillId="5" borderId="0" xfId="0" applyFont="1" applyFill="1" applyAlignment="1">
      <alignment horizontal="left" vertical="center" wrapText="1"/>
    </xf>
    <xf numFmtId="0" fontId="16" fillId="3" borderId="0" xfId="0" applyFont="1" applyFill="1" applyAlignment="1">
      <alignment horizontal="left" vertical="center"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4" fillId="3" borderId="0" xfId="0" applyFont="1" applyFill="1" applyAlignment="1">
      <alignment horizontal="left" vertical="center" wrapText="1"/>
    </xf>
    <xf numFmtId="9" fontId="30" fillId="10" borderId="12" xfId="1" applyFont="1" applyFill="1" applyBorder="1" applyAlignment="1">
      <alignment horizontal="center" vertical="center"/>
    </xf>
    <xf numFmtId="9" fontId="30" fillId="10" borderId="0" xfId="1" applyFont="1" applyFill="1" applyBorder="1" applyAlignment="1">
      <alignment horizontal="center" vertical="center"/>
    </xf>
    <xf numFmtId="0" fontId="50" fillId="0" borderId="0" xfId="0" applyFont="1" applyAlignment="1">
      <alignment horizontal="left" vertical="center"/>
    </xf>
    <xf numFmtId="0" fontId="31" fillId="3" borderId="0" xfId="0" applyFont="1" applyFill="1" applyAlignment="1">
      <alignment horizontal="left" vertical="center" wrapText="1"/>
    </xf>
    <xf numFmtId="0" fontId="33" fillId="3" borderId="0" xfId="0" applyFont="1" applyFill="1" applyAlignment="1">
      <alignment horizontal="left" vertical="top" wrapText="1"/>
    </xf>
  </cellXfs>
  <cellStyles count="5">
    <cellStyle name="Hyperlink" xfId="3" builtinId="8"/>
    <cellStyle name="Hyperlink 2" xfId="4" xr:uid="{4EB93EB6-9F10-476A-858A-ACF6D62A90A5}"/>
    <cellStyle name="Input" xfId="2" builtinId="20"/>
    <cellStyle name="Normal" xfId="0" builtinId="0"/>
    <cellStyle name="Per cent" xfId="1" builtinId="5"/>
  </cellStyles>
  <dxfs count="3">
    <dxf>
      <font>
        <color rgb="FF4C7870"/>
      </font>
      <fill>
        <patternFill>
          <bgColor rgb="FF4C7870"/>
        </patternFill>
      </fill>
      <border>
        <left/>
        <right/>
        <top/>
        <bottom/>
      </border>
    </dxf>
    <dxf>
      <font>
        <color rgb="FF4C7870"/>
      </font>
      <fill>
        <patternFill>
          <bgColor rgb="FF4C7870"/>
        </patternFill>
      </fill>
      <border>
        <left/>
        <right/>
        <top/>
        <bottom/>
      </border>
    </dxf>
    <dxf>
      <font>
        <color rgb="FF4C7870"/>
      </font>
      <fill>
        <patternFill>
          <bgColor rgb="FF4C787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3.xml"/><Relationship Id="rId9" Type="http://schemas.microsoft.com/office/2022/10/relationships/richValueRel" Target="richData/richValueRel.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t>3. SMF: </a:t>
            </a:r>
            <a:r>
              <a:rPr lang="en-US" sz="1200"/>
              <a:t>Fully SMF</a:t>
            </a:r>
            <a:r>
              <a:rPr lang="en-US" sz="1200" baseline="0"/>
              <a:t> with benefits from pooling surplus</a:t>
            </a:r>
            <a:endParaRPr lang="en-US" sz="1200"/>
          </a:p>
        </c:rich>
      </c:tx>
      <c:layout>
        <c:manualLayout>
          <c:xMode val="edge"/>
          <c:yMode val="edge"/>
          <c:x val="0.12906863817002137"/>
          <c:y val="1.481811224474164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711896476321194E-2"/>
          <c:y val="0.26089581757974151"/>
          <c:w val="0.91367885181773145"/>
          <c:h val="0.5298137520238182"/>
        </c:manualLayout>
      </c:layout>
      <c:barChart>
        <c:barDir val="col"/>
        <c:grouping val="stacked"/>
        <c:varyColors val="0"/>
        <c:ser>
          <c:idx val="1"/>
          <c:order val="0"/>
          <c:tx>
            <c:strRef>
              <c:f>'Pool Value v2'!$B$139</c:f>
              <c:strCache>
                <c:ptCount val="1"/>
                <c:pt idx="0">
                  <c:v>Cost after pooling</c:v>
                </c:pt>
              </c:strCache>
            </c:strRef>
          </c:tx>
          <c:spPr>
            <a:solidFill>
              <a:srgbClr val="5E948A"/>
            </a:solidFill>
            <a:ln>
              <a:noFill/>
            </a:ln>
            <a:effectLst/>
          </c:spPr>
          <c:invertIfNegative val="0"/>
          <c:dLbls>
            <c:dLbl>
              <c:idx val="0"/>
              <c:layout>
                <c:manualLayout>
                  <c:x val="5.294505443804538E-4"/>
                  <c:y val="-2.7738579664624823E-3"/>
                </c:manualLayout>
              </c:layout>
              <c:tx>
                <c:rich>
                  <a:bodyPr rot="0" spcFirstLastPara="1" vertOverflow="clip" horzOverflow="clip" vert="horz" wrap="square" lIns="38100" tIns="19050" rIns="38100" bIns="19050" anchor="ctr" anchorCtr="1">
                    <a:spAutoFit/>
                  </a:bodyPr>
                  <a:lstStyle/>
                  <a:p>
                    <a:pPr>
                      <a:defRPr sz="1050" b="1" i="0" u="none" strike="noStrike" kern="1200" baseline="0">
                        <a:solidFill>
                          <a:schemeClr val="dk1">
                            <a:lumMod val="65000"/>
                            <a:lumOff val="35000"/>
                          </a:schemeClr>
                        </a:solidFill>
                        <a:latin typeface="+mn-lt"/>
                        <a:ea typeface="+mn-ea"/>
                        <a:cs typeface="+mn-cs"/>
                      </a:defRPr>
                    </a:pPr>
                    <a:fld id="{DCFDBCFD-4004-41A8-9383-51687E9FC5F1}" type="SERIESNAME">
                      <a:rPr lang="en-US" sz="1050" b="0"/>
                      <a:pPr>
                        <a:defRPr sz="1050" b="1"/>
                      </a:pPr>
                      <a:t>[]</a:t>
                    </a:fld>
                    <a:r>
                      <a:rPr lang="en-US" sz="1050" baseline="0"/>
                      <a:t> </a:t>
                    </a:r>
                    <a:fld id="{772A62A9-66D9-461D-AFFB-EDF303BC8710}" type="VALUE">
                      <a:rPr lang="en-US" sz="1050" baseline="0"/>
                      <a:pPr>
                        <a:defRPr sz="1050" b="1"/>
                      </a:pPr>
                      <a:t>[]</a:t>
                    </a:fld>
                    <a:endParaRPr lang="en-US" sz="1050" baseline="0"/>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1"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oundRect">
                      <a:avLst/>
                    </a:prstGeom>
                    <a:noFill/>
                    <a:ln>
                      <a:noFill/>
                    </a:ln>
                  </c15:spPr>
                  <c15:layout>
                    <c:manualLayout>
                      <c:w val="0.22166870984648046"/>
                      <c:h val="0.18187458142440394"/>
                    </c:manualLayout>
                  </c15:layout>
                  <c15:dlblFieldTable/>
                  <c15:showDataLabelsRange val="0"/>
                </c:ext>
                <c:ext xmlns:c16="http://schemas.microsoft.com/office/drawing/2014/chart" uri="{C3380CC4-5D6E-409C-BE32-E72D297353CC}">
                  <c16:uniqueId val="{00000000-F040-44F0-BF88-9CBD318473C3}"/>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n-US"/>
              </a:p>
            </c:txPr>
            <c:dLblPos val="inEnd"/>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'Pool Value v2'!$E$139</c:f>
              <c:numCache>
                <c:formatCode>0</c:formatCode>
                <c:ptCount val="1"/>
                <c:pt idx="0">
                  <c:v>1375.960505671942</c:v>
                </c:pt>
              </c:numCache>
            </c:numRef>
          </c:val>
          <c:extLst>
            <c:ext xmlns:c16="http://schemas.microsoft.com/office/drawing/2014/chart" uri="{C3380CC4-5D6E-409C-BE32-E72D297353CC}">
              <c16:uniqueId val="{00000001-F040-44F0-BF88-9CBD318473C3}"/>
            </c:ext>
          </c:extLst>
        </c:ser>
        <c:ser>
          <c:idx val="0"/>
          <c:order val="1"/>
          <c:tx>
            <c:strRef>
              <c:f>'Pool Value v2'!$B$138</c:f>
              <c:strCache>
                <c:ptCount val="1"/>
                <c:pt idx="0">
                  <c:v>Surplus value </c:v>
                </c:pt>
              </c:strCache>
            </c:strRef>
          </c:tx>
          <c:spPr>
            <a:pattFill prst="ltUpDiag">
              <a:fgClr>
                <a:srgbClr val="4C7870"/>
              </a:fgClr>
              <a:bgClr>
                <a:schemeClr val="bg1"/>
              </a:bgClr>
            </a:patt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13188533456108242"/>
                      <c:h val="6.0119250770362918E-2"/>
                    </c:manualLayout>
                  </c15:layout>
                </c:ext>
                <c:ext xmlns:c16="http://schemas.microsoft.com/office/drawing/2014/chart" uri="{C3380CC4-5D6E-409C-BE32-E72D297353CC}">
                  <c16:uniqueId val="{00000002-F040-44F0-BF88-9CBD318473C3}"/>
                </c:ext>
              </c:extLst>
            </c:dLbl>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1050" b="0" i="0" u="none" strike="noStrike" kern="1200" baseline="0">
                    <a:solidFill>
                      <a:schemeClr val="dk1">
                        <a:lumMod val="65000"/>
                        <a:lumOff val="3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'Pool Value v2'!$C$12</c:f>
              <c:numCache>
                <c:formatCode>General</c:formatCode>
                <c:ptCount val="1"/>
                <c:pt idx="0">
                  <c:v>2033</c:v>
                </c:pt>
              </c:numCache>
            </c:numRef>
          </c:cat>
          <c:val>
            <c:numRef>
              <c:f>'Pool Value v2'!$E$138</c:f>
              <c:numCache>
                <c:formatCode>0</c:formatCode>
                <c:ptCount val="1"/>
                <c:pt idx="0">
                  <c:v>624.03949432805791</c:v>
                </c:pt>
              </c:numCache>
            </c:numRef>
          </c:val>
          <c:extLst>
            <c:ext xmlns:c16="http://schemas.microsoft.com/office/drawing/2014/chart" uri="{C3380CC4-5D6E-409C-BE32-E72D297353CC}">
              <c16:uniqueId val="{00000003-F040-44F0-BF88-9CBD318473C3}"/>
            </c:ext>
          </c:extLst>
        </c:ser>
        <c:dLbls>
          <c:showLegendKey val="0"/>
          <c:showVal val="0"/>
          <c:showCatName val="0"/>
          <c:showSerName val="0"/>
          <c:showPercent val="0"/>
          <c:showBubbleSize val="0"/>
        </c:dLbls>
        <c:gapWidth val="150"/>
        <c:overlap val="100"/>
        <c:axId val="1015178368"/>
        <c:axId val="1015175488"/>
      </c:barChart>
      <c:catAx>
        <c:axId val="1015178368"/>
        <c:scaling>
          <c:orientation val="minMax"/>
        </c:scaling>
        <c:delete val="1"/>
        <c:axPos val="b"/>
        <c:numFmt formatCode="General" sourceLinked="1"/>
        <c:majorTickMark val="none"/>
        <c:minorTickMark val="none"/>
        <c:tickLblPos val="nextTo"/>
        <c:crossAx val="1015175488"/>
        <c:crosses val="autoZero"/>
        <c:auto val="1"/>
        <c:lblAlgn val="ctr"/>
        <c:lblOffset val="100"/>
        <c:noMultiLvlLbl val="0"/>
      </c:catAx>
      <c:valAx>
        <c:axId val="1015175488"/>
        <c:scaling>
          <c:orientation val="minMax"/>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USD/Tonne</a:t>
                </a:r>
                <a:r>
                  <a:rPr lang="en-US" baseline="0"/>
                  <a:t> LSFO-eq</a:t>
                </a:r>
                <a:endParaRPr lang="en-US"/>
              </a:p>
            </c:rich>
          </c:tx>
          <c:layout>
            <c:manualLayout>
              <c:xMode val="edge"/>
              <c:yMode val="edge"/>
              <c:x val="1.1900696587310277E-2"/>
              <c:y val="0.319920736411190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crossAx val="1015178368"/>
        <c:crosses val="autoZero"/>
        <c:crossBetween val="between"/>
      </c:valAx>
      <c:spPr>
        <a:noFill/>
        <a:ln>
          <a:noFill/>
        </a:ln>
        <a:effectLst/>
      </c:spPr>
    </c:plotArea>
    <c:legend>
      <c:legendPos val="t"/>
      <c:layout>
        <c:manualLayout>
          <c:xMode val="edge"/>
          <c:yMode val="edge"/>
          <c:x val="0.24771034662077249"/>
          <c:y val="0.81737905288978208"/>
          <c:w val="0.53183510868623873"/>
          <c:h val="0.151532698297491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ysClr val="windowText" lastClr="000000">
                    <a:lumMod val="65000"/>
                    <a:lumOff val="35000"/>
                  </a:sysClr>
                </a:solidFill>
              </a:rPr>
              <a:t>1. BAU: </a:t>
            </a:r>
            <a:r>
              <a:rPr lang="en-US" sz="1200" b="0" i="0" u="none" strike="noStrike" kern="1200" spc="0" baseline="0">
                <a:solidFill>
                  <a:sysClr val="windowText" lastClr="000000">
                    <a:lumMod val="65000"/>
                    <a:lumOff val="35000"/>
                  </a:sysClr>
                </a:solidFill>
              </a:rPr>
              <a:t>LSFO with ETS and lowest cost FuelEU compliance</a:t>
            </a:r>
          </a:p>
        </c:rich>
      </c:tx>
      <c:layout>
        <c:manualLayout>
          <c:xMode val="edge"/>
          <c:yMode val="edge"/>
          <c:x val="0.15252145908104642"/>
          <c:y val="1.477610707364435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818029589645594E-2"/>
          <c:y val="0.27421003092123403"/>
          <c:w val="0.95373350932146073"/>
          <c:h val="0.53385232209594935"/>
        </c:manualLayout>
      </c:layout>
      <c:barChart>
        <c:barDir val="col"/>
        <c:grouping val="stacked"/>
        <c:varyColors val="0"/>
        <c:ser>
          <c:idx val="0"/>
          <c:order val="0"/>
          <c:tx>
            <c:strRef>
              <c:f>'Pool Value v2'!$B$102</c:f>
              <c:strCache>
                <c:ptCount val="1"/>
                <c:pt idx="0">
                  <c:v>LSFO cost</c:v>
                </c:pt>
              </c:strCache>
            </c:strRef>
          </c:tx>
          <c:spPr>
            <a:solidFill>
              <a:schemeClr val="bg1">
                <a:lumMod val="50000"/>
              </a:schemeClr>
            </a:solidFill>
            <a:ln>
              <a:noFill/>
            </a:ln>
            <a:effectLst/>
          </c:spPr>
          <c:invertIfNegative val="0"/>
          <c:dPt>
            <c:idx val="0"/>
            <c:invertIfNegative val="0"/>
            <c:bubble3D val="0"/>
            <c:spPr>
              <a:solidFill>
                <a:schemeClr val="tx1">
                  <a:lumMod val="50000"/>
                  <a:lumOff val="50000"/>
                </a:schemeClr>
              </a:solidFill>
              <a:ln>
                <a:noFill/>
              </a:ln>
              <a:effectLst/>
            </c:spPr>
            <c:extLst>
              <c:ext xmlns:c16="http://schemas.microsoft.com/office/drawing/2014/chart" uri="{C3380CC4-5D6E-409C-BE32-E72D297353CC}">
                <c16:uniqueId val="{00000001-A046-4244-8E56-2A558B2E5260}"/>
              </c:ext>
            </c:extLst>
          </c:dPt>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11957342579276742"/>
                      <c:h val="6.8949893300133056E-2"/>
                    </c:manualLayout>
                  </c15:layout>
                </c:ext>
                <c:ext xmlns:c16="http://schemas.microsoft.com/office/drawing/2014/chart" uri="{C3380CC4-5D6E-409C-BE32-E72D297353CC}">
                  <c16:uniqueId val="{00000001-A046-4244-8E56-2A558B2E5260}"/>
                </c:ext>
              </c:extLst>
            </c:dLbl>
            <c:spPr>
              <a:solidFill>
                <a:schemeClr val="bg1">
                  <a:lumMod val="50000"/>
                </a:scheme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0"/>
              </c:ext>
            </c:extLst>
          </c:dLbls>
          <c:cat>
            <c:numRef>
              <c:f>'Pool Value v2'!$C$12</c:f>
              <c:numCache>
                <c:formatCode>General</c:formatCode>
                <c:ptCount val="1"/>
                <c:pt idx="0">
                  <c:v>2033</c:v>
                </c:pt>
              </c:numCache>
            </c:numRef>
          </c:cat>
          <c:val>
            <c:numRef>
              <c:f>'Pool Value v2'!$E$102</c:f>
              <c:numCache>
                <c:formatCode>0</c:formatCode>
                <c:ptCount val="1"/>
                <c:pt idx="0">
                  <c:v>544.98058252427188</c:v>
                </c:pt>
              </c:numCache>
            </c:numRef>
          </c:val>
          <c:extLst>
            <c:ext xmlns:c16="http://schemas.microsoft.com/office/drawing/2014/chart" uri="{C3380CC4-5D6E-409C-BE32-E72D297353CC}">
              <c16:uniqueId val="{00000002-A046-4244-8E56-2A558B2E5260}"/>
            </c:ext>
          </c:extLst>
        </c:ser>
        <c:ser>
          <c:idx val="2"/>
          <c:order val="1"/>
          <c:tx>
            <c:strRef>
              <c:f>'Pool Value v2'!$B$104</c:f>
              <c:strCache>
                <c:ptCount val="1"/>
                <c:pt idx="0">
                  <c:v>ETS Costs</c:v>
                </c:pt>
              </c:strCache>
            </c:strRef>
          </c:tx>
          <c:spPr>
            <a:solidFill>
              <a:srgbClr val="68A4C2"/>
            </a:solidFill>
            <a:ln>
              <a:noFill/>
            </a:ln>
            <a:effectLst/>
          </c:spPr>
          <c:invertIfNegative val="0"/>
          <c:dLbls>
            <c:dLbl>
              <c:idx val="0"/>
              <c:spPr>
                <a:solidFill>
                  <a:srgbClr val="68A4C2"/>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15:layout>
                    <c:manualLayout>
                      <c:w val="0.11123368990629288"/>
                      <c:h val="6.8949893300133056E-2"/>
                    </c:manualLayout>
                  </c15:layout>
                </c:ext>
                <c:ext xmlns:c16="http://schemas.microsoft.com/office/drawing/2014/chart" uri="{C3380CC4-5D6E-409C-BE32-E72D297353CC}">
                  <c16:uniqueId val="{00000003-A046-4244-8E56-2A558B2E5260}"/>
                </c:ext>
              </c:extLst>
            </c:dLbl>
            <c:spPr>
              <a:solidFill>
                <a:srgbClr val="68A4C2"/>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v2'!$C$12</c:f>
              <c:numCache>
                <c:formatCode>General</c:formatCode>
                <c:ptCount val="1"/>
                <c:pt idx="0">
                  <c:v>2033</c:v>
                </c:pt>
              </c:numCache>
            </c:numRef>
          </c:cat>
          <c:val>
            <c:numRef>
              <c:f>'Pool Value v2'!$E$104</c:f>
              <c:numCache>
                <c:formatCode>0</c:formatCode>
                <c:ptCount val="1"/>
                <c:pt idx="0">
                  <c:v>541.95975986122369</c:v>
                </c:pt>
              </c:numCache>
            </c:numRef>
          </c:val>
          <c:extLst>
            <c:ext xmlns:c16="http://schemas.microsoft.com/office/drawing/2014/chart" uri="{C3380CC4-5D6E-409C-BE32-E72D297353CC}">
              <c16:uniqueId val="{00000004-A046-4244-8E56-2A558B2E5260}"/>
            </c:ext>
          </c:extLst>
        </c:ser>
        <c:ser>
          <c:idx val="1"/>
          <c:order val="2"/>
          <c:tx>
            <c:strRef>
              <c:f>'Pool Value v2'!$B$103</c:f>
              <c:strCache>
                <c:ptCount val="1"/>
                <c:pt idx="0">
                  <c:v>FuelEU - Additional cost to blend 8% biodiesel</c:v>
                </c:pt>
              </c:strCache>
            </c:strRef>
          </c:tx>
          <c:spPr>
            <a:solidFill>
              <a:srgbClr val="2C4068"/>
            </a:solidFill>
            <a:ln>
              <a:noFill/>
            </a:ln>
            <a:effectLst/>
          </c:spPr>
          <c:invertIfNegative val="0"/>
          <c:dLbls>
            <c:dLbl>
              <c:idx val="0"/>
              <c:spPr>
                <a:solidFill>
                  <a:srgbClr val="2C4068"/>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15:layout>
                    <c:manualLayout>
                      <c:w val="0.10838438959043357"/>
                      <c:h val="7.160825129254747E-2"/>
                    </c:manualLayout>
                  </c15:layout>
                </c:ext>
                <c:ext xmlns:c16="http://schemas.microsoft.com/office/drawing/2014/chart" uri="{C3380CC4-5D6E-409C-BE32-E72D297353CC}">
                  <c16:uniqueId val="{00000005-A046-4244-8E56-2A558B2E5260}"/>
                </c:ext>
              </c:extLst>
            </c:dLbl>
            <c:spPr>
              <a:solidFill>
                <a:srgbClr val="2C4068"/>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v2'!$C$12</c:f>
              <c:numCache>
                <c:formatCode>General</c:formatCode>
                <c:ptCount val="1"/>
                <c:pt idx="0">
                  <c:v>2033</c:v>
                </c:pt>
              </c:numCache>
            </c:numRef>
          </c:cat>
          <c:val>
            <c:numRef>
              <c:f>'Pool Value v2'!$E$103</c:f>
              <c:numCache>
                <c:formatCode>0</c:formatCode>
                <c:ptCount val="1"/>
                <c:pt idx="0">
                  <c:v>88.019455640035773</c:v>
                </c:pt>
              </c:numCache>
            </c:numRef>
          </c:val>
          <c:extLst>
            <c:ext xmlns:c16="http://schemas.microsoft.com/office/drawing/2014/chart" uri="{C3380CC4-5D6E-409C-BE32-E72D297353CC}">
              <c16:uniqueId val="{00000006-A046-4244-8E56-2A558B2E5260}"/>
            </c:ext>
          </c:extLst>
        </c:ser>
        <c:dLbls>
          <c:dLblPos val="ctr"/>
          <c:showLegendKey val="0"/>
          <c:showVal val="1"/>
          <c:showCatName val="0"/>
          <c:showSerName val="0"/>
          <c:showPercent val="0"/>
          <c:showBubbleSize val="0"/>
        </c:dLbls>
        <c:gapWidth val="150"/>
        <c:overlap val="100"/>
        <c:axId val="1015178368"/>
        <c:axId val="1015175488"/>
      </c:barChart>
      <c:lineChart>
        <c:grouping val="standard"/>
        <c:varyColors val="0"/>
        <c:ser>
          <c:idx val="3"/>
          <c:order val="3"/>
          <c:tx>
            <c:strRef>
              <c:f>'Pool Value v2'!$B$105</c:f>
              <c:strCache>
                <c:ptCount val="1"/>
                <c:pt idx="0">
                  <c:v>Total</c:v>
                </c:pt>
              </c:strCache>
            </c:strRef>
          </c:tx>
          <c:spPr>
            <a:ln w="28575" cap="rnd">
              <a:solidFill>
                <a:schemeClr val="accent4"/>
              </a:solidFill>
              <a:round/>
            </a:ln>
            <a:effectLst/>
          </c:spPr>
          <c:marker>
            <c:symbol val="none"/>
          </c:marker>
          <c:dLbls>
            <c:dLbl>
              <c:idx val="0"/>
              <c:layout>
                <c:manualLayout>
                  <c:x val="-9.4489207593756355E-2"/>
                  <c:y val="-0.12102534381272592"/>
                </c:manualLayout>
              </c:layout>
              <c:dLblPos val="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046-4244-8E56-2A558B2E526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'Pool Value v2'!$E$105</c:f>
              <c:numCache>
                <c:formatCode>0</c:formatCode>
                <c:ptCount val="1"/>
                <c:pt idx="0">
                  <c:v>1174.9597980255312</c:v>
                </c:pt>
              </c:numCache>
            </c:numRef>
          </c:val>
          <c:smooth val="0"/>
          <c:extLst>
            <c:ext xmlns:c16="http://schemas.microsoft.com/office/drawing/2014/chart" uri="{C3380CC4-5D6E-409C-BE32-E72D297353CC}">
              <c16:uniqueId val="{00000008-A046-4244-8E56-2A558B2E5260}"/>
            </c:ext>
          </c:extLst>
        </c:ser>
        <c:dLbls>
          <c:dLblPos val="ctr"/>
          <c:showLegendKey val="0"/>
          <c:showVal val="1"/>
          <c:showCatName val="0"/>
          <c:showSerName val="0"/>
          <c:showPercent val="0"/>
          <c:showBubbleSize val="0"/>
        </c:dLbls>
        <c:marker val="1"/>
        <c:smooth val="0"/>
        <c:axId val="1015178368"/>
        <c:axId val="1015175488"/>
      </c:lineChart>
      <c:catAx>
        <c:axId val="1015178368"/>
        <c:scaling>
          <c:orientation val="minMax"/>
        </c:scaling>
        <c:delete val="1"/>
        <c:axPos val="b"/>
        <c:numFmt formatCode="General" sourceLinked="1"/>
        <c:majorTickMark val="none"/>
        <c:minorTickMark val="none"/>
        <c:tickLblPos val="nextTo"/>
        <c:crossAx val="1015175488"/>
        <c:crosses val="autoZero"/>
        <c:auto val="1"/>
        <c:lblAlgn val="ctr"/>
        <c:lblOffset val="100"/>
        <c:noMultiLvlLbl val="0"/>
      </c:catAx>
      <c:valAx>
        <c:axId val="1015175488"/>
        <c:scaling>
          <c:orientation val="minMax"/>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USD/Tonne</a:t>
                </a:r>
                <a:r>
                  <a:rPr lang="en-US" baseline="0"/>
                  <a:t> LSFO</a:t>
                </a:r>
                <a:endParaRPr lang="en-US"/>
              </a:p>
            </c:rich>
          </c:tx>
          <c:layout>
            <c:manualLayout>
              <c:xMode val="edge"/>
              <c:yMode val="edge"/>
              <c:x val="1.4853618756728719E-2"/>
              <c:y val="0.334743646584865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crossAx val="1015178368"/>
        <c:crosses val="autoZero"/>
        <c:crossBetween val="between"/>
      </c:valAx>
      <c:spPr>
        <a:noFill/>
        <a:ln>
          <a:noFill/>
        </a:ln>
        <a:effectLst/>
      </c:spPr>
    </c:plotArea>
    <c:legend>
      <c:legendPos val="t"/>
      <c:legendEntry>
        <c:idx val="3"/>
        <c:delete val="1"/>
      </c:legendEntry>
      <c:layout>
        <c:manualLayout>
          <c:xMode val="edge"/>
          <c:yMode val="edge"/>
          <c:x val="5.8128818301061799E-2"/>
          <c:y val="0.80715049955294882"/>
          <c:w val="0.89999976608474397"/>
          <c:h val="0.176636548066730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i="0" u="none" strike="noStrike" kern="1200" spc="0" baseline="0">
                <a:solidFill>
                  <a:sysClr val="windowText" lastClr="000000">
                    <a:lumMod val="65000"/>
                    <a:lumOff val="35000"/>
                  </a:sysClr>
                </a:solidFill>
              </a:rPr>
              <a:t>2. SMF: </a:t>
            </a:r>
            <a:r>
              <a:rPr lang="en-US" sz="1200" b="0" i="0" u="none" strike="noStrike" kern="1200" spc="0" baseline="0">
                <a:solidFill>
                  <a:sysClr val="windowText" lastClr="000000">
                    <a:lumMod val="65000"/>
                    <a:lumOff val="35000"/>
                  </a:sysClr>
                </a:solidFill>
              </a:rPr>
              <a:t>Blending minimum share of SMF to meet FuelEU target</a:t>
            </a:r>
          </a:p>
        </c:rich>
      </c:tx>
      <c:layout>
        <c:manualLayout>
          <c:xMode val="edge"/>
          <c:yMode val="edge"/>
          <c:x val="0.12170339311827578"/>
          <c:y val="1.477607071144895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486164762564286E-2"/>
          <c:y val="0.27421003170646413"/>
          <c:w val="0.93288409201374478"/>
          <c:h val="0.53392657956366729"/>
        </c:manualLayout>
      </c:layout>
      <c:barChart>
        <c:barDir val="col"/>
        <c:grouping val="stacked"/>
        <c:varyColors val="0"/>
        <c:ser>
          <c:idx val="0"/>
          <c:order val="0"/>
          <c:tx>
            <c:strRef>
              <c:f>'Pool Value v2'!$B$118</c:f>
              <c:strCache>
                <c:ptCount val="1"/>
                <c:pt idx="0">
                  <c:v>LSFO cost</c:v>
                </c:pt>
              </c:strCache>
            </c:strRef>
          </c:tx>
          <c:spPr>
            <a:solidFill>
              <a:schemeClr val="tx1">
                <a:lumMod val="50000"/>
                <a:lumOff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10673595332625162"/>
                      <c:h val="6.8585978526375754E-2"/>
                    </c:manualLayout>
                  </c15:layout>
                </c:ext>
                <c:ext xmlns:c16="http://schemas.microsoft.com/office/drawing/2014/chart" uri="{C3380CC4-5D6E-409C-BE32-E72D297353CC}">
                  <c16:uniqueId val="{00000000-EA19-429A-8F44-0A220C2F5DF1}"/>
                </c:ext>
              </c:extLst>
            </c:dLbl>
            <c:spPr>
              <a:solidFill>
                <a:schemeClr val="bg1">
                  <a:lumMod val="50000"/>
                </a:scheme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0"/>
              </c:ext>
            </c:extLst>
          </c:dLbls>
          <c:cat>
            <c:numRef>
              <c:f>'Pool Value v2'!$C$12</c:f>
              <c:numCache>
                <c:formatCode>General</c:formatCode>
                <c:ptCount val="1"/>
                <c:pt idx="0">
                  <c:v>2033</c:v>
                </c:pt>
              </c:numCache>
            </c:numRef>
          </c:cat>
          <c:val>
            <c:numRef>
              <c:f>'Pool Value v2'!$E$118</c:f>
              <c:numCache>
                <c:formatCode>0</c:formatCode>
                <c:ptCount val="1"/>
                <c:pt idx="0">
                  <c:v>544.98058252427188</c:v>
                </c:pt>
              </c:numCache>
            </c:numRef>
          </c:val>
          <c:extLst>
            <c:ext xmlns:c16="http://schemas.microsoft.com/office/drawing/2014/chart" uri="{C3380CC4-5D6E-409C-BE32-E72D297353CC}">
              <c16:uniqueId val="{00000001-EA19-429A-8F44-0A220C2F5DF1}"/>
            </c:ext>
          </c:extLst>
        </c:ser>
        <c:ser>
          <c:idx val="2"/>
          <c:order val="1"/>
          <c:tx>
            <c:strRef>
              <c:f>'Pool Value v2'!$B$120</c:f>
              <c:strCache>
                <c:ptCount val="1"/>
                <c:pt idx="0">
                  <c:v>ETS Costs</c:v>
                </c:pt>
              </c:strCache>
            </c:strRef>
          </c:tx>
          <c:spPr>
            <a:solidFill>
              <a:srgbClr val="68A4C2"/>
            </a:solidFill>
            <a:ln>
              <a:noFill/>
            </a:ln>
            <a:effectLst/>
          </c:spPr>
          <c:invertIfNegative val="0"/>
          <c:dLbls>
            <c:dLbl>
              <c:idx val="0"/>
              <c:spPr>
                <a:solidFill>
                  <a:srgbClr val="68A4C2"/>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15:layout>
                    <c:manualLayout>
                      <c:w val="0.11059263537713188"/>
                      <c:h val="6.8585978526375754E-2"/>
                    </c:manualLayout>
                  </c15:layout>
                </c:ext>
                <c:ext xmlns:c16="http://schemas.microsoft.com/office/drawing/2014/chart" uri="{C3380CC4-5D6E-409C-BE32-E72D297353CC}">
                  <c16:uniqueId val="{00000002-EA19-429A-8F44-0A220C2F5DF1}"/>
                </c:ext>
              </c:extLst>
            </c:dLbl>
            <c:spPr>
              <a:solidFill>
                <a:srgbClr val="68A4C2"/>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v2'!$C$12</c:f>
              <c:numCache>
                <c:formatCode>General</c:formatCode>
                <c:ptCount val="1"/>
                <c:pt idx="0">
                  <c:v>2033</c:v>
                </c:pt>
              </c:numCache>
            </c:numRef>
          </c:cat>
          <c:val>
            <c:numRef>
              <c:f>'Pool Value v2'!$E$120</c:f>
              <c:numCache>
                <c:formatCode>0</c:formatCode>
                <c:ptCount val="1"/>
                <c:pt idx="0">
                  <c:v>541.95975986122369</c:v>
                </c:pt>
              </c:numCache>
            </c:numRef>
          </c:val>
          <c:extLst>
            <c:ext xmlns:c16="http://schemas.microsoft.com/office/drawing/2014/chart" uri="{C3380CC4-5D6E-409C-BE32-E72D297353CC}">
              <c16:uniqueId val="{00000003-EA19-429A-8F44-0A220C2F5DF1}"/>
            </c:ext>
          </c:extLst>
        </c:ser>
        <c:ser>
          <c:idx val="1"/>
          <c:order val="2"/>
          <c:tx>
            <c:strRef>
              <c:f>'Pool Value v2'!$B$119</c:f>
              <c:strCache>
                <c:ptCount val="1"/>
                <c:pt idx="0">
                  <c:v>FuelEU - Additional cost to blend 7% SMF</c:v>
                </c:pt>
              </c:strCache>
            </c:strRef>
          </c:tx>
          <c:spPr>
            <a:solidFill>
              <a:srgbClr val="6EA49A"/>
            </a:solidFill>
            <a:ln>
              <a:noFill/>
            </a:ln>
            <a:effectLst/>
          </c:spPr>
          <c:invertIfNegative val="0"/>
          <c:dLbls>
            <c:dLbl>
              <c:idx val="0"/>
              <c:spPr>
                <a:solidFill>
                  <a:srgbClr val="6EA49A"/>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oundRect">
                      <a:avLst/>
                    </a:prstGeom>
                    <a:noFill/>
                    <a:ln>
                      <a:noFill/>
                    </a:ln>
                  </c15:spPr>
                  <c15:layout>
                    <c:manualLayout>
                      <c:w val="0.10605997110221543"/>
                      <c:h val="7.1230305811836592E-2"/>
                    </c:manualLayout>
                  </c15:layout>
                </c:ext>
                <c:ext xmlns:c16="http://schemas.microsoft.com/office/drawing/2014/chart" uri="{C3380CC4-5D6E-409C-BE32-E72D297353CC}">
                  <c16:uniqueId val="{00000004-EA19-429A-8F44-0A220C2F5DF1}"/>
                </c:ext>
              </c:extLst>
            </c:dLbl>
            <c:spPr>
              <a:solidFill>
                <a:srgbClr val="6EA49A"/>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'Pool Value v2'!$C$12</c:f>
              <c:numCache>
                <c:formatCode>General</c:formatCode>
                <c:ptCount val="1"/>
                <c:pt idx="0">
                  <c:v>2033</c:v>
                </c:pt>
              </c:numCache>
            </c:numRef>
          </c:cat>
          <c:val>
            <c:numRef>
              <c:f>'Pool Value v2'!$E$119</c:f>
              <c:numCache>
                <c:formatCode>0</c:formatCode>
                <c:ptCount val="1"/>
                <c:pt idx="0">
                  <c:v>106.97045510812634</c:v>
                </c:pt>
              </c:numCache>
            </c:numRef>
          </c:val>
          <c:extLst>
            <c:ext xmlns:c16="http://schemas.microsoft.com/office/drawing/2014/chart" uri="{C3380CC4-5D6E-409C-BE32-E72D297353CC}">
              <c16:uniqueId val="{00000005-EA19-429A-8F44-0A220C2F5DF1}"/>
            </c:ext>
          </c:extLst>
        </c:ser>
        <c:dLbls>
          <c:dLblPos val="ctr"/>
          <c:showLegendKey val="0"/>
          <c:showVal val="1"/>
          <c:showCatName val="0"/>
          <c:showSerName val="0"/>
          <c:showPercent val="0"/>
          <c:showBubbleSize val="0"/>
        </c:dLbls>
        <c:gapWidth val="150"/>
        <c:overlap val="100"/>
        <c:axId val="1015178368"/>
        <c:axId val="1015175488"/>
      </c:barChart>
      <c:lineChart>
        <c:grouping val="standard"/>
        <c:varyColors val="0"/>
        <c:ser>
          <c:idx val="3"/>
          <c:order val="3"/>
          <c:tx>
            <c:strRef>
              <c:f>'Pool Value v2'!$B$105</c:f>
              <c:strCache>
                <c:ptCount val="1"/>
                <c:pt idx="0">
                  <c:v>Total</c:v>
                </c:pt>
              </c:strCache>
            </c:strRef>
          </c:tx>
          <c:spPr>
            <a:ln w="28575" cap="rnd">
              <a:solidFill>
                <a:schemeClr val="accent4"/>
              </a:solidFill>
              <a:round/>
            </a:ln>
            <a:effectLst/>
          </c:spPr>
          <c:marker>
            <c:symbol val="none"/>
          </c:marker>
          <c:dLbls>
            <c:dLbl>
              <c:idx val="0"/>
              <c:layout>
                <c:manualLayout>
                  <c:x val="-0.11214871202371061"/>
                  <c:y val="-0.11213756323641805"/>
                </c:manualLayout>
              </c:layout>
              <c:tx>
                <c:rich>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fld id="{FAA78B59-8A8F-4D7E-BFDE-C761D981A62E}" type="SERIESNAME">
                      <a:rPr lang="en-US"/>
                      <a:pPr>
                        <a:defRPr sz="1200" b="1"/>
                      </a:pPr>
                      <a:t>[]</a:t>
                    </a:fld>
                    <a:r>
                      <a:rPr lang="en-US" baseline="0"/>
                      <a:t> </a:t>
                    </a:r>
                    <a:fld id="{8DE483EF-06F6-4945-A776-E590E5E4F686}" type="CELLREF">
                      <a:rPr lang="en-US" baseline="0"/>
                      <a:pPr>
                        <a:defRPr sz="1200" b="1"/>
                      </a:pPr>
                      <a:t>[]</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1"/>
              <c:showPercent val="0"/>
              <c:showBubbleSize val="0"/>
              <c:separator> </c:separator>
              <c:extLst>
                <c:ext xmlns:c15="http://schemas.microsoft.com/office/drawing/2012/chart" uri="{CE6537A1-D6FC-4f65-9D91-7224C49458BB}">
                  <c15:layout>
                    <c:manualLayout>
                      <c:w val="0.17421857392756099"/>
                      <c:h val="0.12701808986578486"/>
                    </c:manualLayout>
                  </c15:layout>
                  <c15:dlblFieldTable>
                    <c15:dlblFTEntry>
                      <c15:txfldGUID>{8DE483EF-06F6-4945-A776-E590E5E4F686}</c15:txfldGUID>
                      <c15:f>'Pool Value v2'!$E$121</c15:f>
                      <c15:dlblFieldTableCache>
                        <c:ptCount val="1"/>
                        <c:pt idx="0">
                          <c:v>1194</c:v>
                        </c:pt>
                      </c15:dlblFieldTableCache>
                    </c15:dlblFTEntry>
                  </c15:dlblFieldTable>
                  <c15:showDataLabelsRange val="0"/>
                </c:ext>
                <c:ext xmlns:c16="http://schemas.microsoft.com/office/drawing/2014/chart" uri="{C3380CC4-5D6E-409C-BE32-E72D297353CC}">
                  <c16:uniqueId val="{00000006-EA19-429A-8F44-0A220C2F5DF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'Pool Value v2'!$E$105</c:f>
              <c:numCache>
                <c:formatCode>0</c:formatCode>
                <c:ptCount val="1"/>
                <c:pt idx="0">
                  <c:v>1174.9597980255312</c:v>
                </c:pt>
              </c:numCache>
            </c:numRef>
          </c:val>
          <c:smooth val="0"/>
          <c:extLst>
            <c:ext xmlns:c16="http://schemas.microsoft.com/office/drawing/2014/chart" uri="{C3380CC4-5D6E-409C-BE32-E72D297353CC}">
              <c16:uniqueId val="{00000007-EA19-429A-8F44-0A220C2F5DF1}"/>
            </c:ext>
          </c:extLst>
        </c:ser>
        <c:dLbls>
          <c:dLblPos val="ctr"/>
          <c:showLegendKey val="0"/>
          <c:showVal val="1"/>
          <c:showCatName val="0"/>
          <c:showSerName val="0"/>
          <c:showPercent val="0"/>
          <c:showBubbleSize val="0"/>
        </c:dLbls>
        <c:marker val="1"/>
        <c:smooth val="0"/>
        <c:axId val="1015178368"/>
        <c:axId val="1015175488"/>
      </c:lineChart>
      <c:catAx>
        <c:axId val="1015178368"/>
        <c:scaling>
          <c:orientation val="minMax"/>
        </c:scaling>
        <c:delete val="1"/>
        <c:axPos val="b"/>
        <c:numFmt formatCode="General" sourceLinked="1"/>
        <c:majorTickMark val="none"/>
        <c:minorTickMark val="none"/>
        <c:tickLblPos val="nextTo"/>
        <c:crossAx val="1015175488"/>
        <c:crosses val="autoZero"/>
        <c:auto val="1"/>
        <c:lblAlgn val="ctr"/>
        <c:lblOffset val="100"/>
        <c:noMultiLvlLbl val="0"/>
      </c:catAx>
      <c:valAx>
        <c:axId val="1015175488"/>
        <c:scaling>
          <c:orientation val="minMax"/>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USD/Tonne</a:t>
                </a:r>
                <a:r>
                  <a:rPr lang="en-US" baseline="0"/>
                  <a:t> LSFO</a:t>
                </a:r>
                <a:endParaRPr lang="en-US"/>
              </a:p>
            </c:rich>
          </c:tx>
          <c:layout>
            <c:manualLayout>
              <c:xMode val="edge"/>
              <c:yMode val="edge"/>
              <c:x val="1.4853618756728719E-2"/>
              <c:y val="0.334743646584865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crossAx val="1015178368"/>
        <c:crosses val="autoZero"/>
        <c:crossBetween val="between"/>
      </c:valAx>
      <c:spPr>
        <a:noFill/>
        <a:ln>
          <a:noFill/>
        </a:ln>
        <a:effectLst/>
      </c:spPr>
    </c:plotArea>
    <c:legend>
      <c:legendPos val="t"/>
      <c:legendEntry>
        <c:idx val="3"/>
        <c:delete val="1"/>
      </c:legendEntry>
      <c:layout>
        <c:manualLayout>
          <c:xMode val="edge"/>
          <c:yMode val="edge"/>
          <c:x val="5.8128818301061799E-2"/>
          <c:y val="0.8240644272698795"/>
          <c:w val="0.89999976608474397"/>
          <c:h val="0.159722680314976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62424</xdr:colOff>
      <xdr:row>37</xdr:row>
      <xdr:rowOff>293077</xdr:rowOff>
    </xdr:from>
    <xdr:to>
      <xdr:col>5</xdr:col>
      <xdr:colOff>2080486</xdr:colOff>
      <xdr:row>49</xdr:row>
      <xdr:rowOff>143998</xdr:rowOff>
    </xdr:to>
    <xdr:graphicFrame macro="">
      <xdr:nvGraphicFramePr>
        <xdr:cNvPr id="2" name="Chart 1">
          <a:extLst>
            <a:ext uri="{FF2B5EF4-FFF2-40B4-BE49-F238E27FC236}">
              <a16:creationId xmlns:a16="http://schemas.microsoft.com/office/drawing/2014/main" id="{6533929A-8C52-453B-BD5F-C293A67EDC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567230</xdr:colOff>
      <xdr:row>146</xdr:row>
      <xdr:rowOff>536246</xdr:rowOff>
    </xdr:from>
    <xdr:to>
      <xdr:col>2</xdr:col>
      <xdr:colOff>1116505</xdr:colOff>
      <xdr:row>146</xdr:row>
      <xdr:rowOff>809296</xdr:rowOff>
    </xdr:to>
    <xdr:sp macro="" textlink="">
      <xdr:nvSpPr>
        <xdr:cNvPr id="3" name="Arrow: Right 2">
          <a:extLst>
            <a:ext uri="{FF2B5EF4-FFF2-40B4-BE49-F238E27FC236}">
              <a16:creationId xmlns:a16="http://schemas.microsoft.com/office/drawing/2014/main" id="{0B6ED69F-F6FC-4D28-B9F7-138567B0BE24}"/>
            </a:ext>
          </a:extLst>
        </xdr:cNvPr>
        <xdr:cNvSpPr/>
      </xdr:nvSpPr>
      <xdr:spPr>
        <a:xfrm>
          <a:off x="4316905" y="35473946"/>
          <a:ext cx="54927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581025</xdr:colOff>
      <xdr:row>146</xdr:row>
      <xdr:rowOff>514350</xdr:rowOff>
    </xdr:from>
    <xdr:to>
      <xdr:col>4</xdr:col>
      <xdr:colOff>1130300</xdr:colOff>
      <xdr:row>146</xdr:row>
      <xdr:rowOff>787400</xdr:rowOff>
    </xdr:to>
    <xdr:sp macro="" textlink="">
      <xdr:nvSpPr>
        <xdr:cNvPr id="4" name="Arrow: Right 3">
          <a:extLst>
            <a:ext uri="{FF2B5EF4-FFF2-40B4-BE49-F238E27FC236}">
              <a16:creationId xmlns:a16="http://schemas.microsoft.com/office/drawing/2014/main" id="{58D659E2-5EB2-411A-9F4D-94C9D8D88F3A}"/>
            </a:ext>
          </a:extLst>
        </xdr:cNvPr>
        <xdr:cNvSpPr/>
      </xdr:nvSpPr>
      <xdr:spPr>
        <a:xfrm>
          <a:off x="7826375" y="35471100"/>
          <a:ext cx="479425" cy="0"/>
        </a:xfrm>
        <a:prstGeom prst="rightArrow">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215160</xdr:colOff>
      <xdr:row>37</xdr:row>
      <xdr:rowOff>282117</xdr:rowOff>
    </xdr:from>
    <xdr:to>
      <xdr:col>1</xdr:col>
      <xdr:colOff>3260820</xdr:colOff>
      <xdr:row>49</xdr:row>
      <xdr:rowOff>128954</xdr:rowOff>
    </xdr:to>
    <xdr:graphicFrame macro="">
      <xdr:nvGraphicFramePr>
        <xdr:cNvPr id="5" name="Chart 4">
          <a:extLst>
            <a:ext uri="{FF2B5EF4-FFF2-40B4-BE49-F238E27FC236}">
              <a16:creationId xmlns:a16="http://schemas.microsoft.com/office/drawing/2014/main" id="{FFE06351-F0BE-4074-BC24-86C5DC2B0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52</xdr:row>
      <xdr:rowOff>0</xdr:rowOff>
    </xdr:from>
    <xdr:to>
      <xdr:col>15</xdr:col>
      <xdr:colOff>88264</xdr:colOff>
      <xdr:row>62</xdr:row>
      <xdr:rowOff>113617</xdr:rowOff>
    </xdr:to>
    <xdr:pic>
      <xdr:nvPicPr>
        <xdr:cNvPr id="6" name="Picture 5">
          <a:extLst>
            <a:ext uri="{FF2B5EF4-FFF2-40B4-BE49-F238E27FC236}">
              <a16:creationId xmlns:a16="http://schemas.microsoft.com/office/drawing/2014/main" id="{1F3F4128-E1A7-463D-A15D-62E29BABD0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753850" y="13744575"/>
          <a:ext cx="6565264" cy="3231467"/>
        </a:xfrm>
        <a:prstGeom prst="rect">
          <a:avLst/>
        </a:prstGeom>
        <a:noFill/>
        <a:ln>
          <a:noFill/>
        </a:ln>
      </xdr:spPr>
    </xdr:pic>
    <xdr:clientData/>
  </xdr:twoCellAnchor>
  <xdr:twoCellAnchor>
    <xdr:from>
      <xdr:col>2</xdr:col>
      <xdr:colOff>112642</xdr:colOff>
      <xdr:row>37</xdr:row>
      <xdr:rowOff>293077</xdr:rowOff>
    </xdr:from>
    <xdr:to>
      <xdr:col>3</xdr:col>
      <xdr:colOff>1254372</xdr:colOff>
      <xdr:row>49</xdr:row>
      <xdr:rowOff>138137</xdr:rowOff>
    </xdr:to>
    <xdr:graphicFrame macro="">
      <xdr:nvGraphicFramePr>
        <xdr:cNvPr id="7" name="Chart 6">
          <a:extLst>
            <a:ext uri="{FF2B5EF4-FFF2-40B4-BE49-F238E27FC236}">
              <a16:creationId xmlns:a16="http://schemas.microsoft.com/office/drawing/2014/main" id="{A0F53D82-9794-452B-A1B9-2870D22F0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Case%20study%20data%20and%20modeling/Participants/Hapag%20Lloyd/HL%20Model/Hapag%20Lloyd%20FuelEU%20Impact%20Model.xlsx" TargetMode="External"/><Relationship Id="rId1" Type="http://schemas.openxmlformats.org/officeDocument/2006/relationships/externalLinkPath" Target="file:///\\sites\40033\Delte%2520dokumenter\General\1%2520Working%2520documents\2%2520Value%2520Prop%2520-%2520Case%2520study%2520data%2520and%2520modeling\Participants\Hapag%2520Lloyd\HL%2520Model\Hapag%2520Lloyd%2520FuelEU%2520Impact%2520Mode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modeling/Master%20Pooling%20Model/Model%20for%20Sharing/Master%20FuelEU%20Pooling%20Model%20v9_wMarketOUtlook.xlsm" TargetMode="External"/><Relationship Id="rId1" Type="http://schemas.openxmlformats.org/officeDocument/2006/relationships/externalLinkPath" Target="/sites/40033/Delte%20dokumenter/General/1%20Working%20documents/2%20Value%20Prop%20-%20modeling/Master%20Pooling%20Model/Model%20for%20Sharing/Master%20FuelEU%20Pooling%20Model%20v9_wMarketOUtlook.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zerocarbonshipping.sharepoint.com/sites/40033/Delte%20dokumenter/General/1%20Working%20documents/2%20Value%20Prop%20-%20modeling/Master%20Pooling%20Model/Master%20Pooling%20Model%20v9.xlsm" TargetMode="External"/><Relationship Id="rId1" Type="http://schemas.openxmlformats.org/officeDocument/2006/relationships/externalLinkPath" Target="/sites/40033/Delte%20dokumenter/General/1%20Working%20documents/2%20Value%20Prop%20-%20modeling/Master%20Pooling%20Model/Master%20Pooling%20Model%20v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L Results"/>
      <sheetName val="FuelCost"/>
      <sheetName val="Results"/>
      <sheetName val="RouteAssessment"/>
      <sheetName val="FuelEUCost"/>
      <sheetName val="FuelEUPoolingv2"/>
      <sheetName val="ETS"/>
      <sheetName val="IRACredits"/>
      <sheetName val="GHG Factors"/>
      <sheetName val="GHG Factors (2)"/>
      <sheetName val="Multiplier Analysis"/>
      <sheetName val="ETS Analysis"/>
      <sheetName val="Scratch"/>
      <sheetName val="Voyages"/>
      <sheetName val="EnergyTransition"/>
      <sheetName val="Glossary"/>
      <sheetName val="Drop-Downs"/>
      <sheetName val="FuelDefinitions"/>
      <sheetName val="Questions and ToDo"/>
      <sheetName val="Gut Check"/>
      <sheetName val="Interaction"/>
      <sheetName val="FROM TMA"/>
      <sheetName val="OLDFuelEUPooling"/>
      <sheetName val="OLD Ammonia Analysis"/>
      <sheetName val="OLD GHG Factors"/>
      <sheetName val="OLD_CAPEX Calculation"/>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Inputs"/>
      <sheetName val="Summary Output"/>
      <sheetName val="Scenario Analysis"/>
      <sheetName val="Back End -&gt;"/>
      <sheetName val="GHG Emissions Factors"/>
      <sheetName val="Calculation"/>
      <sheetName val="Fuel Cost"/>
      <sheetName val="Assumptions"/>
      <sheetName val="Vessel Profiles"/>
      <sheetName val="Market -&gt;"/>
      <sheetName val="Market Analysis"/>
      <sheetName val="MRV 2023"/>
      <sheetName val="Tools -&gt;"/>
      <sheetName val="Simple CB Tool"/>
      <sheetName val="Pool Value Tool"/>
      <sheetName val="OPS Tool"/>
      <sheetName val="EUA ReInvest Tool"/>
      <sheetName val="Penalty"/>
      <sheetName val="Drop Downs"/>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Inputs"/>
      <sheetName val="Summary Output"/>
      <sheetName val="Scenario Analysis"/>
      <sheetName val="Back End -&gt;"/>
      <sheetName val="GHG Emissions Factors"/>
      <sheetName val="GHG EFs v2"/>
      <sheetName val="Calculation"/>
      <sheetName val="Fuel Cost"/>
      <sheetName val="Assumptions"/>
      <sheetName val="Vessel Profiles"/>
      <sheetName val="Tools -&gt;"/>
      <sheetName val="Pool Value Tool"/>
      <sheetName val="Pool Value v2"/>
      <sheetName val="OPS Tool"/>
      <sheetName val="Simple CB Tool"/>
      <sheetName val="EUA ReInvest Tool"/>
      <sheetName val="Drop Downs"/>
      <sheetName val="Remove for public -&gt;"/>
      <sheetName val="MRV 2023"/>
      <sheetName val="Market Analysis"/>
      <sheetName val="Multiplier Analysis"/>
      <sheetName val="Pooling Methodology"/>
      <sheetName val="New Vessel Profiles"/>
      <sheetName val="Penalty"/>
      <sheetName val="Biomethane (Acc.)"/>
      <sheetName val="Market Analysis (OLD)"/>
      <sheetName val="ReInvest OLD"/>
      <sheetName val="OPS Sources"/>
      <sheetName val="Notes and Ques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PDF/?uri=CELEX:32023R1805" TargetMode="External"/><Relationship Id="rId13" Type="http://schemas.openxmlformats.org/officeDocument/2006/relationships/hyperlink" Target="https://eur-lex.europa.eu/legal-content/EN/TXT/PDF/?uri=CELEX:32023R1805" TargetMode="External"/><Relationship Id="rId18" Type="http://schemas.openxmlformats.org/officeDocument/2006/relationships/drawing" Target="../drawings/drawing1.xml"/><Relationship Id="rId3" Type="http://schemas.openxmlformats.org/officeDocument/2006/relationships/hyperlink" Target="https://www.lr.org/en/knowledge/research-reports/techno-economic-assessment-of-zero-carbon-fuels/" TargetMode="External"/><Relationship Id="rId7" Type="http://schemas.openxmlformats.org/officeDocument/2006/relationships/hyperlink" Target="https://eur-lex.europa.eu/legal-content/EN/TXT/PDF/?uri=CELEX:32023R1805" TargetMode="External"/><Relationship Id="rId12" Type="http://schemas.openxmlformats.org/officeDocument/2006/relationships/hyperlink" Target="https://www.ecb.europa.eu/stats/policy_and_exchange_rates/euro_reference_exchange_rates/html/eurofxref-graph-usd.en.html" TargetMode="External"/><Relationship Id="rId17" Type="http://schemas.openxmlformats.org/officeDocument/2006/relationships/hyperlink" Target="https://www.zerocarbonshipping.com/cost-calculator/" TargetMode="External"/><Relationship Id="rId2" Type="http://schemas.openxmlformats.org/officeDocument/2006/relationships/hyperlink" Target="https://www.sciencedirect.com/science/article/pii/S0306261921003962?via%3Dihub" TargetMode="External"/><Relationship Id="rId16" Type="http://schemas.openxmlformats.org/officeDocument/2006/relationships/hyperlink" Target="https://www.zerocarbonshipping.com/cost-calculator/" TargetMode="External"/><Relationship Id="rId20" Type="http://schemas.openxmlformats.org/officeDocument/2006/relationships/comments" Target="../comments1.xml"/><Relationship Id="rId1" Type="http://schemas.openxmlformats.org/officeDocument/2006/relationships/hyperlink" Target="https://eur-lex.europa.eu/legal-content/EN/TXT/PDF/?uri=CELEX:32023R1805" TargetMode="External"/><Relationship Id="rId6" Type="http://schemas.openxmlformats.org/officeDocument/2006/relationships/hyperlink" Target="https://www.sciencedirect.com/science/article/pii/S0306261921003962?via%3Dihub" TargetMode="External"/><Relationship Id="rId11" Type="http://schemas.openxmlformats.org/officeDocument/2006/relationships/hyperlink" Target="https://eur-lex.europa.eu/legal-content/EN/TXT/PDF/?uri=CELEX:32023R1805" TargetMode="External"/><Relationship Id="rId5" Type="http://schemas.openxmlformats.org/officeDocument/2006/relationships/hyperlink" Target="https://www.lr.org/en/knowledge/research-reports/techno-economic-assessment-of-zero-carbon-fuels/" TargetMode="External"/><Relationship Id="rId15" Type="http://schemas.openxmlformats.org/officeDocument/2006/relationships/hyperlink" Target="https://www.zerocarbonshipping.com/cost-calculator/" TargetMode="External"/><Relationship Id="rId10" Type="http://schemas.openxmlformats.org/officeDocument/2006/relationships/hyperlink" Target="https://eur-lex.europa.eu/legal-content/EN/TXT/PDF/?uri=CELEX:32023R1805" TargetMode="External"/><Relationship Id="rId19" Type="http://schemas.openxmlformats.org/officeDocument/2006/relationships/vmlDrawing" Target="../drawings/vmlDrawing1.vml"/><Relationship Id="rId4" Type="http://schemas.openxmlformats.org/officeDocument/2006/relationships/hyperlink" Target="https://eur-lex.europa.eu/legal-content/EN/TXT/PDF/?uri=CELEX:32023R1805" TargetMode="External"/><Relationship Id="rId9" Type="http://schemas.openxmlformats.org/officeDocument/2006/relationships/hyperlink" Target="https://eur-lex.europa.eu/legal-content/EN/TXT/PDF/?uri=CELEX:32023R1805" TargetMode="External"/><Relationship Id="rId14" Type="http://schemas.openxmlformats.org/officeDocument/2006/relationships/hyperlink" Target="https://ec.europa.eu/info/law/better-regulation/have-your-say/initiatives/13865-Shipping-emissions-rules-on-monitoring-reporting_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85C6-9C50-4F4F-A494-BF6E406C0084}">
  <sheetPr>
    <tabColor rgb="FFB8DFC2"/>
  </sheetPr>
  <dimension ref="A1:AQ148"/>
  <sheetViews>
    <sheetView showGridLines="0" tabSelected="1" topLeftCell="A9" zoomScaleNormal="100" workbookViewId="0">
      <selection activeCell="L50" sqref="L50"/>
    </sheetView>
  </sheetViews>
  <sheetFormatPr defaultRowHeight="15"/>
  <cols>
    <col min="1" max="1" width="5.5703125" customWidth="1"/>
    <col min="2" max="2" width="48.140625" customWidth="1"/>
    <col min="3" max="3" width="30.85546875" style="117" customWidth="1"/>
    <col min="4" max="4" width="19.28515625" customWidth="1"/>
    <col min="5" max="5" width="15.140625" customWidth="1"/>
    <col min="6" max="6" width="30.42578125" customWidth="1"/>
    <col min="8" max="8" width="10.140625" bestFit="1" customWidth="1"/>
    <col min="9" max="9" width="11.5703125" customWidth="1"/>
    <col min="10" max="17" width="13.5703125" customWidth="1"/>
    <col min="18" max="18" width="10.85546875" customWidth="1"/>
    <col min="19" max="19" width="12.28515625" customWidth="1"/>
    <col min="20" max="22" width="8.7109375" customWidth="1"/>
  </cols>
  <sheetData>
    <row r="1" spans="1:22" ht="21.95" customHeight="1">
      <c r="A1" s="1"/>
      <c r="B1" s="2" t="s">
        <v>0</v>
      </c>
      <c r="C1" s="3"/>
      <c r="D1" s="1"/>
      <c r="E1" s="1"/>
      <c r="F1" s="1"/>
      <c r="G1" s="1"/>
      <c r="H1" s="1"/>
      <c r="I1" s="1"/>
      <c r="J1" s="1"/>
      <c r="K1" s="1"/>
      <c r="L1" s="1"/>
      <c r="M1" s="1"/>
      <c r="N1" s="1"/>
      <c r="O1" s="1"/>
      <c r="P1" s="1"/>
      <c r="Q1" s="1"/>
      <c r="R1" s="1"/>
      <c r="S1" s="1"/>
    </row>
    <row r="2" spans="1:22" ht="10.5" customHeight="1">
      <c r="A2" s="4"/>
      <c r="B2" s="4"/>
      <c r="C2" s="4"/>
      <c r="D2" s="4"/>
      <c r="E2" s="4"/>
      <c r="F2" s="4"/>
      <c r="G2" s="128" t="s">
        <v>1</v>
      </c>
      <c r="H2" s="6"/>
      <c r="I2" s="6"/>
      <c r="J2" s="6"/>
      <c r="K2" s="6"/>
      <c r="L2" s="6"/>
      <c r="M2" s="6"/>
      <c r="N2" s="6"/>
      <c r="O2" s="6"/>
      <c r="P2" s="6"/>
      <c r="Q2" s="6"/>
      <c r="R2" s="6"/>
      <c r="S2" s="6"/>
    </row>
    <row r="3" spans="1:22" ht="29.1" customHeight="1">
      <c r="A3" s="7"/>
      <c r="B3" s="8" t="s">
        <v>2</v>
      </c>
      <c r="C3" s="7"/>
      <c r="D3" s="7"/>
      <c r="E3" s="7"/>
      <c r="F3" s="7"/>
      <c r="G3" s="128"/>
      <c r="H3" s="6"/>
      <c r="I3" s="9" t="s">
        <v>3</v>
      </c>
      <c r="J3" s="6"/>
      <c r="K3" s="6"/>
      <c r="L3" s="6"/>
      <c r="M3" s="6"/>
      <c r="N3" s="6"/>
      <c r="O3" s="6"/>
      <c r="P3" s="6"/>
      <c r="Q3" s="6"/>
      <c r="R3" s="6"/>
      <c r="S3" s="6"/>
    </row>
    <row r="4" spans="1:22" ht="39.950000000000003" customHeight="1">
      <c r="A4" s="10"/>
      <c r="B4" s="129" t="s">
        <v>4</v>
      </c>
      <c r="C4" s="129"/>
      <c r="D4" s="129"/>
      <c r="E4" s="129"/>
      <c r="F4" s="129"/>
      <c r="G4" s="128"/>
      <c r="H4" s="6"/>
      <c r="I4" s="11" t="s">
        <v>5</v>
      </c>
      <c r="J4" s="12"/>
      <c r="K4" s="12"/>
      <c r="L4" s="12"/>
      <c r="M4" s="12"/>
      <c r="N4" s="6"/>
      <c r="O4" s="6"/>
      <c r="P4" s="6"/>
      <c r="Q4" s="6"/>
      <c r="R4" s="6"/>
      <c r="S4" s="6"/>
    </row>
    <row r="5" spans="1:22" ht="68.099999999999994" customHeight="1">
      <c r="A5" s="4"/>
      <c r="B5" s="130" t="s">
        <v>6</v>
      </c>
      <c r="C5" s="130"/>
      <c r="D5" s="130"/>
      <c r="E5" s="130"/>
      <c r="F5" s="4"/>
      <c r="G5" s="128"/>
      <c r="H5" s="6"/>
      <c r="I5" s="6"/>
      <c r="J5" s="131" t="s">
        <v>7</v>
      </c>
      <c r="K5" s="132"/>
      <c r="L5" s="132"/>
      <c r="M5" s="133"/>
      <c r="N5" s="131" t="s">
        <v>8</v>
      </c>
      <c r="O5" s="132"/>
      <c r="P5" s="133"/>
      <c r="Q5" s="13" t="s">
        <v>9</v>
      </c>
      <c r="R5" s="6"/>
      <c r="S5" s="6"/>
    </row>
    <row r="6" spans="1:22" ht="45.95" customHeight="1">
      <c r="A6" s="4"/>
      <c r="B6" s="130" t="s">
        <v>10</v>
      </c>
      <c r="C6" s="130"/>
      <c r="D6" s="130"/>
      <c r="E6" s="130"/>
      <c r="F6" s="4"/>
      <c r="G6" s="128"/>
      <c r="H6" s="6"/>
      <c r="I6" s="6"/>
      <c r="J6" s="14" t="s">
        <v>11</v>
      </c>
      <c r="K6" s="15" t="s">
        <v>12</v>
      </c>
      <c r="L6" s="16" t="s">
        <v>13</v>
      </c>
      <c r="M6" s="17" t="s">
        <v>14</v>
      </c>
      <c r="N6" s="14" t="s">
        <v>15</v>
      </c>
      <c r="O6" s="16" t="s">
        <v>16</v>
      </c>
      <c r="P6" s="18" t="s">
        <v>17</v>
      </c>
      <c r="Q6" s="19" t="s">
        <v>18</v>
      </c>
      <c r="R6" s="6"/>
      <c r="S6" s="6"/>
      <c r="T6" s="20" t="s">
        <v>19</v>
      </c>
    </row>
    <row r="7" spans="1:22" ht="54.6" customHeight="1">
      <c r="A7" s="4"/>
      <c r="B7" s="130" t="s">
        <v>20</v>
      </c>
      <c r="C7" s="130"/>
      <c r="D7" s="130"/>
      <c r="E7" s="130"/>
      <c r="F7" s="4"/>
      <c r="G7" s="128"/>
      <c r="H7" s="6"/>
      <c r="I7" s="6"/>
      <c r="J7" s="21" t="s">
        <v>21</v>
      </c>
      <c r="K7" s="22" t="s">
        <v>22</v>
      </c>
      <c r="L7" s="22" t="s">
        <v>21</v>
      </c>
      <c r="M7" s="23" t="s">
        <v>22</v>
      </c>
      <c r="N7" s="21" t="s">
        <v>23</v>
      </c>
      <c r="O7" s="22" t="s">
        <v>24</v>
      </c>
      <c r="P7" s="23" t="s">
        <v>24</v>
      </c>
      <c r="Q7" s="23" t="s">
        <v>25</v>
      </c>
      <c r="R7" s="6"/>
      <c r="S7" s="6"/>
      <c r="T7" s="24" t="s">
        <v>26</v>
      </c>
      <c r="U7" s="25">
        <v>-1</v>
      </c>
      <c r="V7" s="25">
        <v>0.65</v>
      </c>
    </row>
    <row r="8" spans="1:22" ht="36.950000000000003" customHeight="1">
      <c r="A8" s="4"/>
      <c r="B8" s="130" t="s">
        <v>27</v>
      </c>
      <c r="C8" s="130"/>
      <c r="D8" s="130"/>
      <c r="E8" s="130"/>
      <c r="F8" s="4"/>
      <c r="G8" s="128"/>
      <c r="H8" s="6"/>
      <c r="I8" s="26">
        <v>2025</v>
      </c>
      <c r="J8" s="27">
        <v>15.418689320388349</v>
      </c>
      <c r="K8" s="28">
        <f>J8*$K$41*1000</f>
        <v>624.45691747572823</v>
      </c>
      <c r="L8" s="29">
        <v>30</v>
      </c>
      <c r="M8" s="30">
        <f>L8*$L$41*1000</f>
        <v>1109.9999999999998</v>
      </c>
      <c r="N8" s="31">
        <v>0.7</v>
      </c>
      <c r="O8" s="32">
        <v>119.06000000000002</v>
      </c>
      <c r="P8" s="33">
        <f>O8*N8</f>
        <v>83.342000000000013</v>
      </c>
      <c r="Q8" s="34">
        <v>89.336799999999997</v>
      </c>
      <c r="R8" s="6"/>
      <c r="S8" s="6"/>
      <c r="T8" s="24" t="s">
        <v>28</v>
      </c>
      <c r="U8" s="25">
        <v>-0.9</v>
      </c>
      <c r="V8" s="25">
        <v>0.66</v>
      </c>
    </row>
    <row r="9" spans="1:22">
      <c r="A9" s="4"/>
      <c r="B9" s="4"/>
      <c r="C9" s="4"/>
      <c r="D9" s="4"/>
      <c r="E9" s="4"/>
      <c r="F9" s="4"/>
      <c r="G9" s="128"/>
      <c r="H9" s="6"/>
      <c r="I9" s="26">
        <v>2026</v>
      </c>
      <c r="J9" s="27">
        <v>15.02621359223294</v>
      </c>
      <c r="K9" s="28">
        <f t="shared" ref="K9:K33" si="0">J9*$K$41*1000</f>
        <v>608.56165048543414</v>
      </c>
      <c r="L9" s="29">
        <v>31.299999999999997</v>
      </c>
      <c r="M9" s="30">
        <f t="shared" ref="M9:M33" si="1">L9*$L$41*1000</f>
        <v>1158.0999999999999</v>
      </c>
      <c r="N9" s="31">
        <v>1</v>
      </c>
      <c r="O9" s="32">
        <v>126.20360000000002</v>
      </c>
      <c r="P9" s="33">
        <f t="shared" ref="P9:P33" si="2">O9*N9</f>
        <v>126.20360000000002</v>
      </c>
      <c r="Q9" s="34">
        <v>89.336799999999997</v>
      </c>
      <c r="R9" s="6"/>
      <c r="S9" s="6"/>
      <c r="T9" s="24" t="s">
        <v>26</v>
      </c>
      <c r="U9" s="25">
        <v>-0.8</v>
      </c>
      <c r="V9" s="25">
        <v>0.67</v>
      </c>
    </row>
    <row r="10" spans="1:22" ht="24">
      <c r="A10" s="4"/>
      <c r="B10" s="35" t="s">
        <v>29</v>
      </c>
      <c r="C10" s="4"/>
      <c r="D10" s="4"/>
      <c r="E10" s="4"/>
      <c r="F10" s="4"/>
      <c r="G10" s="128"/>
      <c r="H10" s="6"/>
      <c r="I10" s="26">
        <v>2027</v>
      </c>
      <c r="J10" s="27">
        <v>14.633737864077704</v>
      </c>
      <c r="K10" s="28">
        <f t="shared" si="0"/>
        <v>592.66638349514699</v>
      </c>
      <c r="L10" s="29">
        <v>32.599999999999994</v>
      </c>
      <c r="M10" s="30">
        <f t="shared" si="1"/>
        <v>1206.1999999999998</v>
      </c>
      <c r="N10" s="31">
        <v>1</v>
      </c>
      <c r="O10" s="32">
        <v>133.34720000000002</v>
      </c>
      <c r="P10" s="33">
        <f t="shared" si="2"/>
        <v>133.34720000000002</v>
      </c>
      <c r="Q10" s="34">
        <v>89.336799999999997</v>
      </c>
      <c r="R10" s="6"/>
      <c r="S10" s="6"/>
      <c r="T10" s="24" t="s">
        <v>30</v>
      </c>
      <c r="U10" s="25">
        <v>-0.7</v>
      </c>
      <c r="V10" s="25">
        <v>0.68</v>
      </c>
    </row>
    <row r="11" spans="1:22" ht="19.5" thickBot="1">
      <c r="A11" s="4"/>
      <c r="B11" s="36" t="s">
        <v>31</v>
      </c>
      <c r="C11" s="37"/>
      <c r="D11" s="38" t="s">
        <v>32</v>
      </c>
      <c r="E11" s="39"/>
      <c r="F11" s="39"/>
      <c r="G11" s="128"/>
      <c r="H11" s="6"/>
      <c r="I11" s="26">
        <v>2028</v>
      </c>
      <c r="J11" s="27">
        <v>14.241262135922296</v>
      </c>
      <c r="K11" s="28">
        <f t="shared" si="0"/>
        <v>576.77111650485301</v>
      </c>
      <c r="L11" s="29">
        <v>33.900000000000006</v>
      </c>
      <c r="M11" s="30">
        <f t="shared" si="1"/>
        <v>1254.3000000000002</v>
      </c>
      <c r="N11" s="31">
        <v>1</v>
      </c>
      <c r="O11" s="32">
        <v>140.49080000000001</v>
      </c>
      <c r="P11" s="33">
        <f t="shared" si="2"/>
        <v>140.49080000000001</v>
      </c>
      <c r="Q11" s="34">
        <v>89.336799999999997</v>
      </c>
      <c r="R11" s="6"/>
      <c r="S11" s="6"/>
      <c r="T11" s="40"/>
      <c r="U11" s="25">
        <v>-0.6</v>
      </c>
      <c r="V11" s="25">
        <v>0.69</v>
      </c>
    </row>
    <row r="12" spans="1:22" ht="17.25" thickTop="1" thickBot="1">
      <c r="A12" s="4"/>
      <c r="B12" s="7" t="s">
        <v>33</v>
      </c>
      <c r="C12" s="41">
        <v>2033</v>
      </c>
      <c r="D12" s="42" t="s">
        <v>34</v>
      </c>
      <c r="E12" s="4"/>
      <c r="F12" s="43"/>
      <c r="G12" s="128"/>
      <c r="H12" s="6"/>
      <c r="I12" s="26">
        <v>2029</v>
      </c>
      <c r="J12" s="27">
        <v>13.848786407766889</v>
      </c>
      <c r="K12" s="28">
        <f t="shared" si="0"/>
        <v>560.87584951455904</v>
      </c>
      <c r="L12" s="29">
        <v>35.199999999999996</v>
      </c>
      <c r="M12" s="30">
        <f t="shared" si="1"/>
        <v>1302.3999999999999</v>
      </c>
      <c r="N12" s="31">
        <v>1</v>
      </c>
      <c r="O12" s="32">
        <v>147.6344</v>
      </c>
      <c r="P12" s="33">
        <f t="shared" si="2"/>
        <v>147.6344</v>
      </c>
      <c r="Q12" s="34">
        <v>89.336799999999997</v>
      </c>
      <c r="R12" s="6"/>
      <c r="S12" s="6"/>
      <c r="T12" s="40"/>
      <c r="U12" s="25">
        <v>-0.5</v>
      </c>
      <c r="V12" s="25">
        <v>0.7</v>
      </c>
    </row>
    <row r="13" spans="1:22" ht="15.95" customHeight="1" thickTop="1">
      <c r="A13" s="4"/>
      <c r="B13" s="4"/>
      <c r="C13" s="4"/>
      <c r="D13" s="4"/>
      <c r="E13" s="4"/>
      <c r="F13" s="4"/>
      <c r="G13" s="128"/>
      <c r="H13" s="6"/>
      <c r="I13" s="26">
        <v>2030</v>
      </c>
      <c r="J13" s="27">
        <v>13.456310679611649</v>
      </c>
      <c r="K13" s="28">
        <f t="shared" si="0"/>
        <v>544.98058252427188</v>
      </c>
      <c r="L13" s="29">
        <v>36.5</v>
      </c>
      <c r="M13" s="30">
        <f t="shared" si="1"/>
        <v>1350.5</v>
      </c>
      <c r="N13" s="31">
        <v>1</v>
      </c>
      <c r="O13" s="32">
        <v>154.77800000000002</v>
      </c>
      <c r="P13" s="33">
        <f t="shared" si="2"/>
        <v>154.77800000000002</v>
      </c>
      <c r="Q13" s="34">
        <v>85.690399999999997</v>
      </c>
      <c r="R13" s="6"/>
      <c r="S13" s="6"/>
      <c r="T13" s="40"/>
      <c r="U13" s="25">
        <v>-0.4</v>
      </c>
      <c r="V13" s="25">
        <v>0.71</v>
      </c>
    </row>
    <row r="14" spans="1:22" ht="15.6" customHeight="1" thickBot="1">
      <c r="A14" s="4"/>
      <c r="B14" s="7" t="s">
        <v>35</v>
      </c>
      <c r="C14" s="44"/>
      <c r="D14" s="4"/>
      <c r="E14" s="4"/>
      <c r="F14" s="43"/>
      <c r="G14" s="128"/>
      <c r="H14" s="6"/>
      <c r="I14" s="26">
        <v>2031</v>
      </c>
      <c r="J14" s="27">
        <v>13.456310679611649</v>
      </c>
      <c r="K14" s="28">
        <f t="shared" si="0"/>
        <v>544.98058252427188</v>
      </c>
      <c r="L14" s="29">
        <v>37.9</v>
      </c>
      <c r="M14" s="30">
        <f t="shared" si="1"/>
        <v>1402.3</v>
      </c>
      <c r="N14" s="31">
        <v>1</v>
      </c>
      <c r="O14" s="32">
        <v>165.54102400000002</v>
      </c>
      <c r="P14" s="33">
        <f t="shared" si="2"/>
        <v>165.54102400000002</v>
      </c>
      <c r="Q14" s="34">
        <v>85.690399999999997</v>
      </c>
      <c r="R14" s="6"/>
      <c r="S14" s="6"/>
      <c r="T14" s="40"/>
      <c r="U14" s="25">
        <v>-0.3</v>
      </c>
      <c r="V14" s="25">
        <v>0.72</v>
      </c>
    </row>
    <row r="15" spans="1:22" ht="16.5" customHeight="1" thickTop="1" thickBot="1">
      <c r="A15" s="44"/>
      <c r="B15" s="42" t="s">
        <v>36</v>
      </c>
      <c r="C15" s="45">
        <v>0.9</v>
      </c>
      <c r="D15" s="42" t="s">
        <v>37</v>
      </c>
      <c r="E15" s="4"/>
      <c r="F15" s="44"/>
      <c r="G15" s="128"/>
      <c r="H15" s="6"/>
      <c r="I15" s="26">
        <v>2032</v>
      </c>
      <c r="J15" s="27">
        <v>13.456310679611649</v>
      </c>
      <c r="K15" s="28">
        <f t="shared" si="0"/>
        <v>544.98058252427188</v>
      </c>
      <c r="L15" s="29">
        <v>39.299999999999997</v>
      </c>
      <c r="M15" s="30">
        <f t="shared" si="1"/>
        <v>1454.0999999999997</v>
      </c>
      <c r="N15" s="31">
        <v>1</v>
      </c>
      <c r="O15" s="32">
        <v>176.30404800000002</v>
      </c>
      <c r="P15" s="33">
        <f t="shared" si="2"/>
        <v>176.30404800000002</v>
      </c>
      <c r="Q15" s="34">
        <v>85.690399999999997</v>
      </c>
      <c r="R15" s="6"/>
      <c r="S15" s="6"/>
      <c r="T15" s="40"/>
      <c r="U15" s="25">
        <v>-0.2</v>
      </c>
      <c r="V15" s="25">
        <v>0.73</v>
      </c>
    </row>
    <row r="16" spans="1:22" ht="17.25" thickTop="1" thickBot="1">
      <c r="A16" s="4"/>
      <c r="B16" s="42" t="s">
        <v>38</v>
      </c>
      <c r="C16" s="41" t="s">
        <v>26</v>
      </c>
      <c r="D16" s="42" t="s">
        <v>39</v>
      </c>
      <c r="E16" s="4"/>
      <c r="F16" s="4"/>
      <c r="G16" s="128"/>
      <c r="H16" s="6"/>
      <c r="I16" s="26">
        <v>2033</v>
      </c>
      <c r="J16" s="27">
        <v>13.456310679611649</v>
      </c>
      <c r="K16" s="28">
        <f t="shared" si="0"/>
        <v>544.98058252427188</v>
      </c>
      <c r="L16" s="29">
        <v>40.700000000000003</v>
      </c>
      <c r="M16" s="30">
        <f t="shared" si="1"/>
        <v>1505.9</v>
      </c>
      <c r="N16" s="31">
        <v>1</v>
      </c>
      <c r="O16" s="32">
        <v>187.06707200000002</v>
      </c>
      <c r="P16" s="33">
        <f t="shared" si="2"/>
        <v>187.06707200000002</v>
      </c>
      <c r="Q16" s="34">
        <v>85.690399999999997</v>
      </c>
      <c r="R16" s="6"/>
      <c r="S16" s="6"/>
      <c r="T16" s="40"/>
      <c r="U16" s="25">
        <v>-0.1</v>
      </c>
      <c r="V16" s="25">
        <v>0.74</v>
      </c>
    </row>
    <row r="17" spans="1:22" ht="17.25" thickTop="1" thickBot="1">
      <c r="A17" s="4"/>
      <c r="B17" s="42" t="s">
        <v>40</v>
      </c>
      <c r="C17" s="41">
        <v>2000</v>
      </c>
      <c r="D17" s="42" t="s">
        <v>41</v>
      </c>
      <c r="E17" s="4"/>
      <c r="F17" s="4"/>
      <c r="G17" s="128"/>
      <c r="H17" s="6"/>
      <c r="I17" s="26">
        <v>2034</v>
      </c>
      <c r="J17" s="27">
        <v>13.456310679611649</v>
      </c>
      <c r="K17" s="28">
        <f t="shared" si="0"/>
        <v>544.98058252427188</v>
      </c>
      <c r="L17" s="29">
        <v>42.1</v>
      </c>
      <c r="M17" s="30">
        <f t="shared" si="1"/>
        <v>1557.7</v>
      </c>
      <c r="N17" s="31">
        <v>1</v>
      </c>
      <c r="O17" s="32">
        <v>197.83009600000003</v>
      </c>
      <c r="P17" s="33">
        <f t="shared" si="2"/>
        <v>197.83009600000003</v>
      </c>
      <c r="Q17" s="34">
        <v>85.690399999999997</v>
      </c>
      <c r="R17" s="6"/>
      <c r="S17" s="6"/>
      <c r="T17" s="40"/>
      <c r="U17" s="25">
        <v>0</v>
      </c>
      <c r="V17" s="25">
        <v>0.75</v>
      </c>
    </row>
    <row r="18" spans="1:22" ht="15.75" thickTop="1">
      <c r="A18" s="4"/>
      <c r="B18" s="4"/>
      <c r="C18" s="46" t="s">
        <v>42</v>
      </c>
      <c r="D18" s="4"/>
      <c r="E18" s="4"/>
      <c r="F18" s="4"/>
      <c r="G18" s="128"/>
      <c r="H18" s="6"/>
      <c r="I18" s="26">
        <v>2035</v>
      </c>
      <c r="J18" s="27">
        <v>13.456310679611649</v>
      </c>
      <c r="K18" s="28">
        <f t="shared" si="0"/>
        <v>544.98058252427188</v>
      </c>
      <c r="L18" s="29">
        <v>43.5</v>
      </c>
      <c r="M18" s="30">
        <f t="shared" si="1"/>
        <v>1609.5</v>
      </c>
      <c r="N18" s="31">
        <v>1</v>
      </c>
      <c r="O18" s="32">
        <v>197.63960000000003</v>
      </c>
      <c r="P18" s="33">
        <f t="shared" si="2"/>
        <v>197.63960000000003</v>
      </c>
      <c r="Q18" s="34">
        <v>77.941800000000001</v>
      </c>
      <c r="R18" s="6"/>
      <c r="S18" s="6"/>
      <c r="T18" s="40"/>
      <c r="U18" s="25">
        <v>0.1</v>
      </c>
      <c r="V18" s="25">
        <v>0.76</v>
      </c>
    </row>
    <row r="19" spans="1:22" ht="15" customHeight="1" thickBot="1">
      <c r="A19" s="4"/>
      <c r="B19" s="7" t="s">
        <v>43</v>
      </c>
      <c r="C19" s="4"/>
      <c r="D19" s="4"/>
      <c r="E19" s="4"/>
      <c r="F19" s="4"/>
      <c r="G19" s="128"/>
      <c r="H19" s="6"/>
      <c r="I19" s="26">
        <v>2036</v>
      </c>
      <c r="J19" s="27">
        <v>13.456310679611649</v>
      </c>
      <c r="K19" s="28">
        <f t="shared" si="0"/>
        <v>544.98058252427188</v>
      </c>
      <c r="L19" s="29">
        <v>44.9</v>
      </c>
      <c r="M19" s="30">
        <f t="shared" si="1"/>
        <v>1661.2999999999997</v>
      </c>
      <c r="N19" s="31">
        <v>1</v>
      </c>
      <c r="O19" s="32">
        <v>208.59312000000003</v>
      </c>
      <c r="P19" s="33">
        <f t="shared" si="2"/>
        <v>208.59312000000003</v>
      </c>
      <c r="Q19" s="34">
        <v>77.941800000000001</v>
      </c>
      <c r="R19" s="6"/>
      <c r="S19" s="6"/>
      <c r="T19" s="40"/>
      <c r="U19" s="25">
        <v>0.2</v>
      </c>
      <c r="V19" s="25">
        <v>0.77</v>
      </c>
    </row>
    <row r="20" spans="1:22" ht="14.45" customHeight="1" thickTop="1">
      <c r="A20" s="4"/>
      <c r="B20" s="134" t="s">
        <v>44</v>
      </c>
      <c r="C20" s="135">
        <v>0</v>
      </c>
      <c r="D20" s="138" t="s">
        <v>45</v>
      </c>
      <c r="E20" s="138"/>
      <c r="F20" s="138"/>
      <c r="G20" s="128"/>
      <c r="H20" s="6"/>
      <c r="I20" s="26">
        <v>2037</v>
      </c>
      <c r="J20" s="27">
        <v>13.456310679611649</v>
      </c>
      <c r="K20" s="28">
        <f t="shared" si="0"/>
        <v>544.98058252427188</v>
      </c>
      <c r="L20" s="29">
        <v>46.3</v>
      </c>
      <c r="M20" s="30">
        <f t="shared" si="1"/>
        <v>1713.1</v>
      </c>
      <c r="N20" s="31">
        <v>1</v>
      </c>
      <c r="O20" s="32">
        <v>219.54664000000002</v>
      </c>
      <c r="P20" s="33">
        <f t="shared" si="2"/>
        <v>219.54664000000002</v>
      </c>
      <c r="Q20" s="34">
        <v>77.941800000000001</v>
      </c>
      <c r="R20" s="6"/>
      <c r="S20" s="6"/>
      <c r="T20" s="40"/>
      <c r="U20" s="25">
        <v>0.3</v>
      </c>
      <c r="V20" s="25">
        <v>0.78</v>
      </c>
    </row>
    <row r="21" spans="1:22" ht="14.45" customHeight="1">
      <c r="A21" s="4"/>
      <c r="B21" s="134"/>
      <c r="C21" s="136"/>
      <c r="D21" s="138"/>
      <c r="E21" s="138"/>
      <c r="F21" s="138"/>
      <c r="G21" s="128"/>
      <c r="H21" s="6"/>
      <c r="I21" s="26">
        <v>2038</v>
      </c>
      <c r="J21" s="27">
        <v>13.456310679611649</v>
      </c>
      <c r="K21" s="28">
        <f t="shared" si="0"/>
        <v>544.98058252427188</v>
      </c>
      <c r="L21" s="29">
        <v>47.7</v>
      </c>
      <c r="M21" s="30">
        <f t="shared" si="1"/>
        <v>1764.8999999999999</v>
      </c>
      <c r="N21" s="31">
        <v>1</v>
      </c>
      <c r="O21" s="32">
        <v>230.50016000000002</v>
      </c>
      <c r="P21" s="33">
        <f t="shared" si="2"/>
        <v>230.50016000000002</v>
      </c>
      <c r="Q21" s="34">
        <v>77.941800000000001</v>
      </c>
      <c r="R21" s="6"/>
      <c r="S21" s="6"/>
      <c r="T21" s="40"/>
      <c r="U21" s="25">
        <v>0.4</v>
      </c>
      <c r="V21" s="25">
        <v>0.79</v>
      </c>
    </row>
    <row r="22" spans="1:22">
      <c r="A22" s="4"/>
      <c r="B22" s="4"/>
      <c r="C22" s="4"/>
      <c r="D22" s="4"/>
      <c r="E22" s="4"/>
      <c r="F22" s="4"/>
      <c r="G22" s="128"/>
      <c r="H22" s="6"/>
      <c r="I22" s="26">
        <v>2039</v>
      </c>
      <c r="J22" s="27">
        <v>13.456310679611649</v>
      </c>
      <c r="K22" s="28">
        <f t="shared" si="0"/>
        <v>544.98058252427188</v>
      </c>
      <c r="L22" s="29">
        <v>49.1</v>
      </c>
      <c r="M22" s="30">
        <f t="shared" si="1"/>
        <v>1816.7</v>
      </c>
      <c r="N22" s="31">
        <v>1</v>
      </c>
      <c r="O22" s="32">
        <v>241.45368000000002</v>
      </c>
      <c r="P22" s="33">
        <f t="shared" si="2"/>
        <v>241.45368000000002</v>
      </c>
      <c r="Q22" s="34">
        <v>77.941800000000001</v>
      </c>
      <c r="R22" s="6"/>
      <c r="S22" s="6"/>
      <c r="T22" s="40"/>
      <c r="U22" s="25">
        <v>0.5</v>
      </c>
      <c r="V22" s="25">
        <v>0.8</v>
      </c>
    </row>
    <row r="23" spans="1:22" ht="18.75">
      <c r="A23" s="4"/>
      <c r="B23" s="36" t="s">
        <v>46</v>
      </c>
      <c r="C23" s="37"/>
      <c r="D23" s="38" t="s">
        <v>47</v>
      </c>
      <c r="E23" s="39"/>
      <c r="F23" s="39"/>
      <c r="G23" s="128"/>
      <c r="H23" s="6"/>
      <c r="I23" s="26">
        <v>2040</v>
      </c>
      <c r="J23" s="27">
        <v>13.456310679611649</v>
      </c>
      <c r="K23" s="28">
        <f t="shared" si="0"/>
        <v>544.98058252427188</v>
      </c>
      <c r="L23" s="29">
        <v>50.5</v>
      </c>
      <c r="M23" s="30">
        <f t="shared" si="1"/>
        <v>1868.4999999999998</v>
      </c>
      <c r="N23" s="31">
        <v>1</v>
      </c>
      <c r="O23" s="32">
        <v>252.40720000000002</v>
      </c>
      <c r="P23" s="33">
        <f t="shared" si="2"/>
        <v>252.40720000000002</v>
      </c>
      <c r="Q23" s="34">
        <v>62.900399999999991</v>
      </c>
      <c r="R23" s="6"/>
      <c r="S23" s="6"/>
      <c r="T23" s="40"/>
      <c r="U23" s="25">
        <v>0.6</v>
      </c>
      <c r="V23" s="25">
        <v>0.81</v>
      </c>
    </row>
    <row r="24" spans="1:22" ht="15.6" customHeight="1">
      <c r="A24" s="4"/>
      <c r="B24" s="4"/>
      <c r="C24" s="47"/>
      <c r="D24" s="4"/>
      <c r="E24" s="4"/>
      <c r="F24" s="4"/>
      <c r="G24" s="128"/>
      <c r="H24" s="6"/>
      <c r="I24" s="26">
        <v>2041</v>
      </c>
      <c r="J24" s="27">
        <v>13.456310679611649</v>
      </c>
      <c r="K24" s="28">
        <f t="shared" si="0"/>
        <v>544.98058252427188</v>
      </c>
      <c r="L24" s="29">
        <v>51.800000000000004</v>
      </c>
      <c r="M24" s="30">
        <f t="shared" si="1"/>
        <v>1916.6000000000001</v>
      </c>
      <c r="N24" s="31">
        <v>1</v>
      </c>
      <c r="O24" s="32">
        <v>266.93252000000001</v>
      </c>
      <c r="P24" s="33">
        <f t="shared" si="2"/>
        <v>266.93252000000001</v>
      </c>
      <c r="Q24" s="34">
        <v>62.900399999999991</v>
      </c>
      <c r="R24" s="6"/>
      <c r="S24" s="6"/>
      <c r="T24" s="40"/>
      <c r="U24" s="25">
        <v>0.7</v>
      </c>
      <c r="V24" s="25">
        <v>0.82</v>
      </c>
    </row>
    <row r="25" spans="1:22" ht="15.75" thickBot="1">
      <c r="A25" s="4"/>
      <c r="B25" s="7" t="s">
        <v>48</v>
      </c>
      <c r="C25" s="47"/>
      <c r="D25" s="4"/>
      <c r="E25" s="4"/>
      <c r="F25" s="4"/>
      <c r="G25" s="128"/>
      <c r="H25" s="6"/>
      <c r="I25" s="26">
        <v>2042</v>
      </c>
      <c r="J25" s="27">
        <v>13.456310679611649</v>
      </c>
      <c r="K25" s="28">
        <f t="shared" si="0"/>
        <v>544.98058252427188</v>
      </c>
      <c r="L25" s="29">
        <v>53.099999999999994</v>
      </c>
      <c r="M25" s="30">
        <f t="shared" si="1"/>
        <v>1964.6999999999996</v>
      </c>
      <c r="N25" s="31">
        <v>1</v>
      </c>
      <c r="O25" s="32">
        <v>281.45784000000003</v>
      </c>
      <c r="P25" s="33">
        <f t="shared" si="2"/>
        <v>281.45784000000003</v>
      </c>
      <c r="Q25" s="34">
        <v>62.900399999999991</v>
      </c>
      <c r="R25" s="6"/>
      <c r="S25" s="6"/>
      <c r="T25" s="40"/>
      <c r="U25" s="25">
        <v>0.8</v>
      </c>
      <c r="V25" s="25">
        <v>0.83</v>
      </c>
    </row>
    <row r="26" spans="1:22" ht="14.45" customHeight="1" thickTop="1" thickBot="1">
      <c r="A26" s="4"/>
      <c r="B26" s="42" t="s">
        <v>49</v>
      </c>
      <c r="C26" s="41" t="s">
        <v>26</v>
      </c>
      <c r="D26" s="46" t="s">
        <v>50</v>
      </c>
      <c r="E26" s="4"/>
      <c r="F26" s="4"/>
      <c r="G26" s="128"/>
      <c r="H26" s="6"/>
      <c r="I26" s="26">
        <v>2043</v>
      </c>
      <c r="J26" s="27">
        <v>13.456310679611649</v>
      </c>
      <c r="K26" s="28">
        <f t="shared" si="0"/>
        <v>544.98058252427188</v>
      </c>
      <c r="L26" s="29">
        <v>54.400000000000006</v>
      </c>
      <c r="M26" s="30">
        <f t="shared" si="1"/>
        <v>2012.8</v>
      </c>
      <c r="N26" s="31">
        <v>1</v>
      </c>
      <c r="O26" s="32">
        <v>295.98316000000005</v>
      </c>
      <c r="P26" s="33">
        <f t="shared" si="2"/>
        <v>295.98316000000005</v>
      </c>
      <c r="Q26" s="34">
        <v>62.900399999999991</v>
      </c>
      <c r="R26" s="6"/>
      <c r="S26" s="6"/>
      <c r="T26" s="40"/>
      <c r="U26" s="25">
        <v>0.9</v>
      </c>
      <c r="V26" s="25">
        <v>0.84</v>
      </c>
    </row>
    <row r="27" spans="1:22" ht="16.5" customHeight="1" thickTop="1" thickBot="1">
      <c r="A27" s="4"/>
      <c r="B27" s="42" t="str">
        <f>IF(C26="Enter my own","Enter LSFO cost estimate [USD/tonne LSFO] -&gt;","")</f>
        <v/>
      </c>
      <c r="C27" s="41">
        <v>600</v>
      </c>
      <c r="D27" s="139" t="str">
        <f>IF(C26="Enter my own","Note: the pooling surplus value is calculated with the difference between LSFO and biodiesel or penalty costs, therefore, decreasing the gap will decrease the surplus price","")</f>
        <v/>
      </c>
      <c r="E27" s="139"/>
      <c r="F27" s="139"/>
      <c r="G27" s="128"/>
      <c r="H27" s="6"/>
      <c r="I27" s="26">
        <v>2044</v>
      </c>
      <c r="J27" s="27">
        <v>13.456310679611649</v>
      </c>
      <c r="K27" s="28">
        <f t="shared" si="0"/>
        <v>544.98058252427188</v>
      </c>
      <c r="L27" s="29">
        <v>55.699999999999996</v>
      </c>
      <c r="M27" s="30">
        <f t="shared" si="1"/>
        <v>2060.8999999999996</v>
      </c>
      <c r="N27" s="31">
        <v>1</v>
      </c>
      <c r="O27" s="32">
        <v>310.50848000000008</v>
      </c>
      <c r="P27" s="33">
        <f t="shared" si="2"/>
        <v>310.50848000000008</v>
      </c>
      <c r="Q27" s="34">
        <v>62.900399999999991</v>
      </c>
      <c r="R27" s="6"/>
      <c r="S27" s="6"/>
      <c r="T27" s="40"/>
      <c r="U27" s="25">
        <v>1</v>
      </c>
      <c r="V27" s="25">
        <v>0.85</v>
      </c>
    </row>
    <row r="28" spans="1:22" ht="15.75" thickTop="1">
      <c r="A28" s="4"/>
      <c r="B28" s="42"/>
      <c r="C28" s="47"/>
      <c r="D28" s="139"/>
      <c r="E28" s="139"/>
      <c r="F28" s="139"/>
      <c r="G28" s="128"/>
      <c r="H28" s="6"/>
      <c r="I28" s="26">
        <v>2045</v>
      </c>
      <c r="J28" s="27">
        <v>13.456310679611649</v>
      </c>
      <c r="K28" s="28">
        <f t="shared" si="0"/>
        <v>544.98058252427188</v>
      </c>
      <c r="L28" s="29">
        <v>57</v>
      </c>
      <c r="M28" s="30">
        <f t="shared" si="1"/>
        <v>2109</v>
      </c>
      <c r="N28" s="31">
        <v>1</v>
      </c>
      <c r="O28" s="32">
        <v>325.03380000000004</v>
      </c>
      <c r="P28" s="33">
        <f t="shared" si="2"/>
        <v>325.03380000000004</v>
      </c>
      <c r="Q28" s="34">
        <v>34.640799999999999</v>
      </c>
      <c r="R28" s="6"/>
      <c r="S28" s="6"/>
      <c r="V28" s="25">
        <v>0.86</v>
      </c>
    </row>
    <row r="29" spans="1:22" ht="15.75" thickBot="1">
      <c r="A29" s="4"/>
      <c r="B29" s="7" t="s">
        <v>51</v>
      </c>
      <c r="C29" s="47"/>
      <c r="D29" s="4"/>
      <c r="E29" s="4"/>
      <c r="F29" s="4"/>
      <c r="G29" s="128"/>
      <c r="H29" s="6"/>
      <c r="I29" s="26">
        <v>2046</v>
      </c>
      <c r="J29" s="27">
        <v>13.456310679611649</v>
      </c>
      <c r="K29" s="28">
        <f t="shared" si="0"/>
        <v>544.98058252427188</v>
      </c>
      <c r="L29" s="29">
        <v>58.300000000000004</v>
      </c>
      <c r="M29" s="30">
        <f t="shared" si="1"/>
        <v>2157.1000000000004</v>
      </c>
      <c r="N29" s="31">
        <v>1</v>
      </c>
      <c r="O29" s="32">
        <v>343.36904000000004</v>
      </c>
      <c r="P29" s="33">
        <f t="shared" si="2"/>
        <v>343.36904000000004</v>
      </c>
      <c r="Q29" s="34">
        <v>34.640799999999999</v>
      </c>
      <c r="R29" s="6"/>
      <c r="S29" s="6"/>
      <c r="V29" s="25">
        <v>0.87</v>
      </c>
    </row>
    <row r="30" spans="1:22" ht="17.25" thickTop="1" thickBot="1">
      <c r="A30" s="4"/>
      <c r="B30" s="42" t="s">
        <v>52</v>
      </c>
      <c r="C30" s="41" t="s">
        <v>26</v>
      </c>
      <c r="D30" s="46" t="s">
        <v>53</v>
      </c>
      <c r="E30" s="4"/>
      <c r="F30" s="4"/>
      <c r="G30" s="128"/>
      <c r="H30" s="6"/>
      <c r="I30" s="26">
        <v>2047</v>
      </c>
      <c r="J30" s="27">
        <v>13.456310679611649</v>
      </c>
      <c r="K30" s="28">
        <f t="shared" si="0"/>
        <v>544.98058252427188</v>
      </c>
      <c r="L30" s="29">
        <v>59.599999999999994</v>
      </c>
      <c r="M30" s="30">
        <f t="shared" si="1"/>
        <v>2205.1999999999998</v>
      </c>
      <c r="N30" s="31">
        <v>1</v>
      </c>
      <c r="O30" s="32">
        <v>361.70428000000004</v>
      </c>
      <c r="P30" s="33">
        <f t="shared" si="2"/>
        <v>361.70428000000004</v>
      </c>
      <c r="Q30" s="34">
        <v>34.640799999999999</v>
      </c>
      <c r="R30" s="6"/>
      <c r="S30" s="6"/>
      <c r="V30" s="25">
        <v>0.88</v>
      </c>
    </row>
    <row r="31" spans="1:22" ht="17.25" thickTop="1" thickBot="1">
      <c r="A31" s="4"/>
      <c r="B31" s="42" t="str">
        <f>IF(C30="Enter my own","Enter biodiesel estimate [USD/tonne biodiesel] -&gt;","")</f>
        <v/>
      </c>
      <c r="C31" s="41">
        <v>1800</v>
      </c>
      <c r="D31" s="4"/>
      <c r="E31" s="4"/>
      <c r="F31" s="4"/>
      <c r="G31" s="128"/>
      <c r="H31" s="6"/>
      <c r="I31" s="26">
        <v>2048</v>
      </c>
      <c r="J31" s="27">
        <v>13.456310679611649</v>
      </c>
      <c r="K31" s="28">
        <f t="shared" si="0"/>
        <v>544.98058252427188</v>
      </c>
      <c r="L31" s="29">
        <v>60.900000000000006</v>
      </c>
      <c r="M31" s="30">
        <f t="shared" si="1"/>
        <v>2253.3000000000002</v>
      </c>
      <c r="N31" s="31">
        <v>1</v>
      </c>
      <c r="O31" s="32">
        <v>380.03952000000004</v>
      </c>
      <c r="P31" s="33">
        <f t="shared" si="2"/>
        <v>380.03952000000004</v>
      </c>
      <c r="Q31" s="34">
        <v>34.640799999999999</v>
      </c>
      <c r="R31" s="6"/>
      <c r="S31" s="6"/>
      <c r="V31" s="25">
        <v>0.89</v>
      </c>
    </row>
    <row r="32" spans="1:22" ht="15.75" thickTop="1">
      <c r="A32" s="4"/>
      <c r="B32" s="42"/>
      <c r="C32" s="48" t="s">
        <v>54</v>
      </c>
      <c r="D32" s="4"/>
      <c r="E32" s="4"/>
      <c r="F32" s="4"/>
      <c r="G32" s="128"/>
      <c r="H32" s="6"/>
      <c r="I32" s="26">
        <v>2049</v>
      </c>
      <c r="J32" s="27">
        <v>13.456310679611649</v>
      </c>
      <c r="K32" s="28">
        <f t="shared" si="0"/>
        <v>544.98058252427188</v>
      </c>
      <c r="L32" s="29">
        <v>62.199999999999996</v>
      </c>
      <c r="M32" s="30">
        <f t="shared" si="1"/>
        <v>2301.3999999999996</v>
      </c>
      <c r="N32" s="31">
        <v>1</v>
      </c>
      <c r="O32" s="32">
        <v>398.37476000000004</v>
      </c>
      <c r="P32" s="33">
        <f t="shared" si="2"/>
        <v>398.37476000000004</v>
      </c>
      <c r="Q32" s="34">
        <v>34.640799999999999</v>
      </c>
      <c r="R32" s="6"/>
      <c r="S32" s="6"/>
      <c r="V32" s="25">
        <v>0.9</v>
      </c>
    </row>
    <row r="33" spans="1:22" ht="15.75" thickBot="1">
      <c r="A33" s="4"/>
      <c r="B33" s="7" t="s">
        <v>55</v>
      </c>
      <c r="C33" s="47"/>
      <c r="D33" s="4"/>
      <c r="E33" s="4"/>
      <c r="F33" s="4"/>
      <c r="G33" s="128"/>
      <c r="H33" s="6"/>
      <c r="I33" s="26">
        <v>2050</v>
      </c>
      <c r="J33" s="49">
        <v>13.456310679611649</v>
      </c>
      <c r="K33" s="50">
        <f t="shared" si="0"/>
        <v>544.98058252427188</v>
      </c>
      <c r="L33" s="51">
        <v>63.5</v>
      </c>
      <c r="M33" s="52">
        <f t="shared" si="1"/>
        <v>2349.5</v>
      </c>
      <c r="N33" s="53">
        <v>1</v>
      </c>
      <c r="O33" s="54">
        <v>416.71000000000004</v>
      </c>
      <c r="P33" s="55">
        <f t="shared" si="2"/>
        <v>416.71000000000004</v>
      </c>
      <c r="Q33" s="56">
        <v>18.231999999999996</v>
      </c>
      <c r="R33" s="6"/>
      <c r="S33" s="6"/>
      <c r="V33" s="25">
        <v>0.91</v>
      </c>
    </row>
    <row r="34" spans="1:22" ht="17.25" thickTop="1" thickBot="1">
      <c r="A34" s="4"/>
      <c r="B34" s="42" t="s">
        <v>56</v>
      </c>
      <c r="C34" s="41" t="s">
        <v>26</v>
      </c>
      <c r="D34" s="46" t="s">
        <v>57</v>
      </c>
      <c r="E34" s="4"/>
      <c r="F34" s="4"/>
      <c r="G34" s="128"/>
      <c r="H34" s="6"/>
      <c r="I34" s="57" t="s">
        <v>58</v>
      </c>
      <c r="J34" s="58" t="s">
        <v>59</v>
      </c>
      <c r="K34" s="58"/>
      <c r="L34" s="58" t="s">
        <v>60</v>
      </c>
      <c r="M34" s="59"/>
      <c r="N34" s="59"/>
      <c r="O34" s="58" t="s">
        <v>57</v>
      </c>
      <c r="P34" s="59"/>
      <c r="Q34" s="58" t="s">
        <v>61</v>
      </c>
      <c r="R34" s="6"/>
      <c r="S34" s="6"/>
      <c r="V34" s="25">
        <v>0.92</v>
      </c>
    </row>
    <row r="35" spans="1:22" ht="16.5" customHeight="1" thickTop="1" thickBot="1">
      <c r="A35" s="4"/>
      <c r="B35" s="42" t="str">
        <f>IF(C34="Enter my own","Enter EUA estimate [USD/tonne CO2e] -&gt;","")</f>
        <v/>
      </c>
      <c r="C35" s="41">
        <v>150</v>
      </c>
      <c r="D35" s="139" t="str">
        <f>IF(AND(C34="Enter my own",C35&gt;E81),"Warning: the ETS cost is higher than the additional cost to blend biodiesel, therefore, there is no value in pooling because vessels can save money by blending biodiesel","")</f>
        <v/>
      </c>
      <c r="E35" s="139"/>
      <c r="F35" s="139"/>
      <c r="G35" s="128"/>
      <c r="H35" s="6"/>
      <c r="I35" s="6"/>
      <c r="J35" s="6"/>
      <c r="K35" s="6"/>
      <c r="L35" s="6"/>
      <c r="M35" s="6"/>
      <c r="N35" s="6"/>
      <c r="O35" s="6"/>
      <c r="P35" s="6"/>
      <c r="Q35" s="6"/>
      <c r="R35" s="6"/>
      <c r="S35" s="6"/>
      <c r="V35" s="25">
        <v>0.93</v>
      </c>
    </row>
    <row r="36" spans="1:22" ht="15.75" thickTop="1">
      <c r="A36" s="4"/>
      <c r="B36" s="42"/>
      <c r="C36" s="42"/>
      <c r="D36" s="139"/>
      <c r="E36" s="139"/>
      <c r="F36" s="139"/>
      <c r="G36" s="128"/>
      <c r="H36" s="6"/>
      <c r="I36" s="57"/>
      <c r="J36" s="60"/>
      <c r="K36" s="59"/>
      <c r="L36" s="58"/>
      <c r="M36" s="59"/>
      <c r="N36" s="59"/>
      <c r="O36" s="58"/>
      <c r="P36" s="59"/>
      <c r="Q36" s="58"/>
      <c r="R36" s="6"/>
      <c r="S36" s="6"/>
      <c r="V36" s="25">
        <v>0.94</v>
      </c>
    </row>
    <row r="37" spans="1:22" ht="23.45" customHeight="1">
      <c r="A37" s="4"/>
      <c r="B37" s="35" t="s">
        <v>62</v>
      </c>
      <c r="C37" s="47"/>
      <c r="D37" s="4"/>
      <c r="E37" s="4"/>
      <c r="F37" s="4"/>
      <c r="G37" s="128"/>
      <c r="H37" s="6"/>
      <c r="I37" s="6"/>
      <c r="J37" s="60"/>
      <c r="K37" s="6"/>
      <c r="L37" s="58"/>
      <c r="M37" s="6"/>
      <c r="N37" s="6"/>
      <c r="O37" s="6"/>
      <c r="P37" s="6"/>
      <c r="Q37" s="6"/>
      <c r="R37" s="6"/>
      <c r="S37" s="6"/>
      <c r="V37" s="25">
        <v>0.95</v>
      </c>
    </row>
    <row r="38" spans="1:22" ht="12.95" customHeight="1">
      <c r="A38" s="4"/>
      <c r="B38" s="61"/>
      <c r="C38" s="61"/>
      <c r="D38" s="61"/>
      <c r="E38" s="61"/>
      <c r="F38" s="61"/>
      <c r="G38" s="128"/>
      <c r="H38" s="6"/>
      <c r="I38" s="6"/>
      <c r="J38" s="62" t="s">
        <v>63</v>
      </c>
      <c r="K38" s="6"/>
      <c r="L38" s="6"/>
      <c r="M38" s="6"/>
      <c r="N38" s="6"/>
      <c r="O38" s="29"/>
      <c r="P38" s="6"/>
      <c r="Q38" s="6"/>
      <c r="R38" s="6"/>
      <c r="S38" s="6"/>
      <c r="V38" s="25">
        <v>0.96</v>
      </c>
    </row>
    <row r="39" spans="1:22" ht="34.5" customHeight="1">
      <c r="A39" s="4"/>
      <c r="B39" s="61"/>
      <c r="C39" s="63"/>
      <c r="D39" s="63"/>
      <c r="E39" s="63"/>
      <c r="F39" s="63"/>
      <c r="G39" s="128"/>
      <c r="H39" s="6"/>
      <c r="I39" s="6"/>
      <c r="J39" s="64"/>
      <c r="K39" s="65" t="s">
        <v>64</v>
      </c>
      <c r="L39" s="65" t="s">
        <v>65</v>
      </c>
      <c r="M39" s="65" t="s">
        <v>66</v>
      </c>
      <c r="N39" s="66" t="s">
        <v>67</v>
      </c>
      <c r="O39" s="66" t="s">
        <v>68</v>
      </c>
      <c r="P39" s="6"/>
      <c r="Q39" s="6"/>
      <c r="R39" s="6"/>
      <c r="S39" s="6"/>
      <c r="V39" s="25">
        <v>0.97</v>
      </c>
    </row>
    <row r="40" spans="1:22" ht="32.450000000000003" customHeight="1">
      <c r="A40" s="4"/>
      <c r="B40" s="61"/>
      <c r="C40" s="63"/>
      <c r="D40" s="63"/>
      <c r="E40" s="63"/>
      <c r="F40" s="63"/>
      <c r="G40" s="128"/>
      <c r="H40" s="6"/>
      <c r="I40" s="26"/>
      <c r="J40" s="67" t="s">
        <v>69</v>
      </c>
      <c r="K40" s="29">
        <v>91.744200000000006</v>
      </c>
      <c r="L40" s="29">
        <v>16.383510000000001</v>
      </c>
      <c r="M40" s="29">
        <f>(1-C15)*L46</f>
        <v>9.3999999999999986</v>
      </c>
      <c r="N40" s="68" t="s">
        <v>70</v>
      </c>
      <c r="O40" s="6"/>
      <c r="P40" s="6"/>
      <c r="Q40" s="6"/>
      <c r="R40" s="6"/>
      <c r="S40" s="6"/>
      <c r="V40" s="25">
        <v>0.98</v>
      </c>
    </row>
    <row r="41" spans="1:22" ht="14.45" customHeight="1">
      <c r="A41" s="4"/>
      <c r="B41" s="61"/>
      <c r="C41" s="47"/>
      <c r="D41" s="4"/>
      <c r="E41" s="4"/>
      <c r="F41" s="4"/>
      <c r="G41" s="128"/>
      <c r="H41" s="6"/>
      <c r="I41" s="26"/>
      <c r="J41" s="67" t="s">
        <v>71</v>
      </c>
      <c r="K41" s="69">
        <v>4.0500000000000001E-2</v>
      </c>
      <c r="L41" s="70">
        <v>3.6999999999999998E-2</v>
      </c>
      <c r="M41" s="71" t="s">
        <v>72</v>
      </c>
      <c r="N41" s="68" t="s">
        <v>73</v>
      </c>
      <c r="O41" s="6"/>
      <c r="P41" s="6"/>
      <c r="Q41" s="6"/>
      <c r="R41" s="6"/>
      <c r="S41" s="6"/>
      <c r="V41" s="25">
        <v>0.99</v>
      </c>
    </row>
    <row r="42" spans="1:22" ht="34.5" customHeight="1">
      <c r="A42" s="4"/>
      <c r="B42" s="4"/>
      <c r="C42" s="47"/>
      <c r="D42" s="4"/>
      <c r="E42" s="4"/>
      <c r="F42" s="4"/>
      <c r="G42" s="128"/>
      <c r="H42" s="6"/>
      <c r="I42" s="72"/>
      <c r="J42" s="73" t="s">
        <v>74</v>
      </c>
      <c r="K42" s="74">
        <v>78.244200000000006</v>
      </c>
      <c r="L42" s="74">
        <v>1.4835100000000001</v>
      </c>
      <c r="M42" s="74">
        <f>IF(C16="Yes",0,(1-C15)*K42)</f>
        <v>0</v>
      </c>
      <c r="N42" s="68" t="s">
        <v>75</v>
      </c>
      <c r="O42" s="72"/>
      <c r="P42" s="121" t="s">
        <v>76</v>
      </c>
      <c r="Q42" s="121"/>
      <c r="R42" s="121"/>
      <c r="S42" s="6"/>
      <c r="V42" s="25">
        <v>1</v>
      </c>
    </row>
    <row r="43" spans="1:22">
      <c r="A43" s="4"/>
      <c r="B43" s="4"/>
      <c r="C43" s="47"/>
      <c r="D43" s="4"/>
      <c r="E43" s="4"/>
      <c r="F43" s="4"/>
      <c r="G43" s="128"/>
      <c r="H43" s="6"/>
      <c r="I43" s="6"/>
      <c r="J43" s="75" t="s">
        <v>26</v>
      </c>
      <c r="K43" s="6"/>
      <c r="L43" s="6"/>
      <c r="M43" s="6"/>
      <c r="N43" s="6"/>
      <c r="O43" s="6"/>
      <c r="P43" s="6"/>
      <c r="Q43" s="6"/>
      <c r="R43" s="6"/>
      <c r="S43" s="6"/>
    </row>
    <row r="44" spans="1:22">
      <c r="A44" s="4"/>
      <c r="B44" s="4"/>
      <c r="C44" s="47"/>
      <c r="D44" s="4"/>
      <c r="E44" s="4"/>
      <c r="F44" s="4"/>
      <c r="G44" s="128"/>
      <c r="H44" s="6"/>
      <c r="I44" s="6"/>
      <c r="J44" s="10" t="s">
        <v>77</v>
      </c>
      <c r="K44" s="6"/>
      <c r="L44" s="6"/>
      <c r="M44" s="6"/>
      <c r="N44" s="6"/>
      <c r="O44" s="6"/>
      <c r="P44" s="6"/>
      <c r="Q44" s="6"/>
      <c r="R44" s="6"/>
      <c r="S44" s="6"/>
    </row>
    <row r="45" spans="1:22" ht="15.75">
      <c r="A45" s="4"/>
      <c r="B45" s="4"/>
      <c r="C45" s="47"/>
      <c r="D45" s="4"/>
      <c r="E45" s="4"/>
      <c r="F45" s="4"/>
      <c r="G45" s="128"/>
      <c r="H45" s="6"/>
      <c r="I45" s="6"/>
      <c r="J45" s="76" t="s">
        <v>78</v>
      </c>
      <c r="K45" s="65" t="s">
        <v>79</v>
      </c>
      <c r="L45" s="65" t="s">
        <v>80</v>
      </c>
      <c r="M45" s="66" t="s">
        <v>67</v>
      </c>
      <c r="N45" s="66" t="s">
        <v>32</v>
      </c>
      <c r="O45" s="6"/>
      <c r="P45" s="6"/>
      <c r="Q45" s="6"/>
      <c r="R45" s="6"/>
      <c r="S45" s="6"/>
    </row>
    <row r="46" spans="1:22">
      <c r="A46" s="4"/>
      <c r="B46" s="4"/>
      <c r="C46" s="4"/>
      <c r="D46" s="4"/>
      <c r="E46" s="4"/>
      <c r="F46" s="4"/>
      <c r="G46" s="128"/>
      <c r="H46" s="6"/>
      <c r="I46" s="6"/>
      <c r="J46" s="73" t="s">
        <v>81</v>
      </c>
      <c r="K46" s="77" t="s">
        <v>25</v>
      </c>
      <c r="L46" s="6">
        <v>94</v>
      </c>
      <c r="M46" s="58" t="s">
        <v>82</v>
      </c>
      <c r="N46" s="77" t="s">
        <v>83</v>
      </c>
      <c r="O46" s="6"/>
      <c r="P46" s="6"/>
      <c r="Q46" s="6"/>
      <c r="R46" s="6"/>
      <c r="S46" s="6"/>
    </row>
    <row r="47" spans="1:22" ht="29.1" customHeight="1">
      <c r="A47" s="4"/>
      <c r="B47" s="4"/>
      <c r="C47" s="4"/>
      <c r="D47" s="4"/>
      <c r="E47" s="4"/>
      <c r="F47" s="4"/>
      <c r="G47" s="128"/>
      <c r="H47" s="6"/>
      <c r="I47" s="6"/>
      <c r="J47" s="73" t="s">
        <v>84</v>
      </c>
      <c r="K47" s="77" t="s">
        <v>25</v>
      </c>
      <c r="L47" s="6">
        <v>91.16</v>
      </c>
      <c r="M47" s="58" t="s">
        <v>61</v>
      </c>
      <c r="N47" s="77" t="s">
        <v>85</v>
      </c>
      <c r="O47" s="6"/>
      <c r="P47" s="78"/>
      <c r="Q47" s="6"/>
      <c r="R47" s="6"/>
      <c r="S47" s="6"/>
    </row>
    <row r="48" spans="1:22" ht="30">
      <c r="A48" s="4"/>
      <c r="B48" s="4"/>
      <c r="C48" s="4"/>
      <c r="D48" s="4"/>
      <c r="E48" s="4"/>
      <c r="F48" s="4"/>
      <c r="G48" s="128"/>
      <c r="H48" s="6"/>
      <c r="I48" s="6"/>
      <c r="J48" s="73" t="s">
        <v>86</v>
      </c>
      <c r="K48" s="79" t="s">
        <v>87</v>
      </c>
      <c r="L48" s="32">
        <v>2400</v>
      </c>
      <c r="M48" s="80" t="s">
        <v>88</v>
      </c>
      <c r="N48" s="77" t="s">
        <v>89</v>
      </c>
      <c r="O48" s="6"/>
      <c r="P48" s="6"/>
      <c r="Q48" s="78"/>
      <c r="R48" s="78"/>
      <c r="S48" s="6"/>
    </row>
    <row r="49" spans="1:19">
      <c r="A49" s="4"/>
      <c r="B49" s="4"/>
      <c r="C49" s="4"/>
      <c r="D49" s="4"/>
      <c r="E49" s="4"/>
      <c r="F49" s="4"/>
      <c r="G49" s="128"/>
      <c r="H49" s="6"/>
      <c r="I49" s="6"/>
      <c r="J49" s="73" t="s">
        <v>90</v>
      </c>
      <c r="K49" s="77" t="s">
        <v>91</v>
      </c>
      <c r="L49" s="29">
        <v>1.1382000000000001</v>
      </c>
      <c r="M49" s="81" t="s">
        <v>92</v>
      </c>
      <c r="N49" s="77" t="s">
        <v>93</v>
      </c>
      <c r="O49" s="6"/>
      <c r="P49" s="6"/>
      <c r="Q49" s="6"/>
      <c r="R49" s="6"/>
      <c r="S49" s="6"/>
    </row>
    <row r="50" spans="1:19" ht="15.75" thickBot="1">
      <c r="A50" s="4"/>
      <c r="B50" s="4"/>
      <c r="C50" s="4"/>
      <c r="D50" s="4"/>
      <c r="E50" s="4"/>
      <c r="F50" s="4"/>
      <c r="G50" s="128"/>
      <c r="H50" s="6"/>
      <c r="I50" s="6"/>
      <c r="J50" s="73" t="s">
        <v>94</v>
      </c>
      <c r="K50" s="77" t="s">
        <v>95</v>
      </c>
      <c r="L50" s="29">
        <f>($L$49*$L$48)/($K$40*0.041)</f>
        <v>726.2185670964991</v>
      </c>
      <c r="M50" s="82" t="s">
        <v>96</v>
      </c>
      <c r="N50" s="77" t="s">
        <v>97</v>
      </c>
      <c r="O50" s="6"/>
      <c r="P50" s="6"/>
      <c r="Q50" s="78"/>
      <c r="R50" s="78"/>
      <c r="S50" s="6"/>
    </row>
    <row r="51" spans="1:19" ht="15.6" customHeight="1">
      <c r="A51" s="4"/>
      <c r="B51" s="122" t="str">
        <f>"In the business as usual (BAU) scenario, we assume that the vessel is able to comply with the least-cost FuelEU option between blending biodiesel and paying the penalty. Here, blending biodiesel costs "&amp;ROUND(E83,0)&amp;" USD per tonne of LSFO versus "&amp;ROUND(E88,0)&amp;" USD per tonne of fuel for the penalty. Therefore, BAU vessel FuelEU cost is based on the "&amp;B99&amp;". The BAU must also pay ETS, although, here the biodiesel is zero-rated and therefore only the LSFO is subject to ETS. The total cost in the BAU scenario is "&amp;ROUND(E105,0)&amp;" USD per tonne of fuel."</f>
        <v>In the business as usual (BAU) scenario, we assume that the vessel is able to comply with the least-cost FuelEU option between blending biodiesel and paying the penalty. Here, blending biodiesel costs 88 USD per tonne of LSFO versus 178 USD per tonne of fuel for the penalty. Therefore, BAU vessel FuelEU cost is based on the FuelEU - Additional cost to blend 8% biodiesel. The BAU must also pay ETS, although, here the biodiesel is zero-rated and therefore only the LSFO is subject to ETS. The total cost in the BAU scenario is 1175 USD per tonne of fuel.</v>
      </c>
      <c r="C51" s="122" t="str">
        <f>"Here we assume a dual fuel vessel that is able to optimize in a dual-fuel vessel, using "&amp;ROUND(E113*100,0)&amp;"% SMF to meet the "&amp;C12&amp;" target. The remainder of fuel is LSFO, which is subject to ETS costs. The SMF costs above show the additional costs beyond LSFO. The total cost in this scenario is "&amp;ROUND(E121,0)&amp;" USD per tonne of fuel."</f>
        <v>Here we assume a dual fuel vessel that is able to optimize in a dual-fuel vessel, using 7% SMF to meet the 2033 target. The remainder of fuel is LSFO, which is subject to ETS costs. The SMF costs above show the additional costs beyond LSFO. The total cost in this scenario is 1194 USD per tonne of fuel.</v>
      </c>
      <c r="D51" s="125"/>
      <c r="E51" s="122" t="str">
        <f>"In "&amp;C12&amp;" SMF has a starting cost of "&amp;C17&amp;" USD per tonne of LSFO-eq and a WtW emissions of "&amp;ROUND(M40,0)&amp;" gCO2e/MJ can pool "&amp;ROUND(E136,1)&amp;" tonnes CO2e of surplus compliance per tonne of fuel (in LSFO-eq). Enabling the SMF to cover a max of "&amp;E137&amp;" LSFO vessels (with identical consumption) in a pool. We assume that the value of pooling in "&amp;$C$12&amp;" will be based on the BAU cost of compliance: "&amp;ROUND(E128,0)&amp;" USD per tonne of CO2e abatement due to the cost of "&amp;$B$98&amp;IF(B98="Biodiesel"," minus the ETS savings of "&amp;ROUND(E127,0)&amp;" USD per tonne of CO2e.","")&amp;" Therefore the modeled SMF can achieve a surplus benefit of "&amp;ROUND(E138,0)&amp;" USD per tonne of fuel in LSFO-eq resulting in a reduced fuel cost of "&amp;ROUND(E139,0)&amp;" USD per tonne of LSFO-eq, compared to the BAU fuel cost of "&amp;ROUND(E105,0)&amp;" USD per tonne of fuel."</f>
        <v>In 2033 SMF has a starting cost of 2000 USD per tonne of LSFO-eq and a WtW emissions of 9 gCO2e/MJ can pool 3.1 tonnes CO2e of surplus compliance per tonne of fuel (in LSFO-eq). Enabling the SMF to cover a max of 12 LSFO vessels (with identical consumption) in a pool. We assume that the value of pooling in 2033 will be based on the BAU cost of compliance: 202 USD per tonne of CO2e abatement due to the cost of Biodiesel minus the ETS savings of 160 USD per tonne of CO2e. Therefore the modeled SMF can achieve a surplus benefit of 624 USD per tonne of fuel in LSFO-eq resulting in a reduced fuel cost of 1376 USD per tonne of LSFO-eq, compared to the BAU fuel cost of 1175 USD per tonne of fuel.</v>
      </c>
      <c r="F51" s="125"/>
      <c r="G51" s="128"/>
      <c r="H51" s="6"/>
      <c r="I51" s="6"/>
      <c r="J51" s="6"/>
      <c r="K51" s="6"/>
      <c r="L51" s="6"/>
      <c r="M51" s="6"/>
      <c r="N51" s="78"/>
      <c r="O51" s="78"/>
      <c r="P51" s="78"/>
      <c r="Q51" s="78"/>
      <c r="R51" s="78"/>
      <c r="S51" s="6"/>
    </row>
    <row r="52" spans="1:19">
      <c r="A52" s="4"/>
      <c r="B52" s="123"/>
      <c r="C52" s="123"/>
      <c r="D52" s="126"/>
      <c r="E52" s="123"/>
      <c r="F52" s="126"/>
      <c r="G52" s="128"/>
      <c r="H52" s="6"/>
      <c r="I52" s="6"/>
      <c r="J52" s="6"/>
      <c r="K52" s="6"/>
      <c r="L52" s="6"/>
      <c r="M52" s="6"/>
      <c r="N52" s="78"/>
      <c r="O52" s="78"/>
      <c r="P52" s="78"/>
      <c r="Q52" s="78"/>
      <c r="R52" s="78"/>
      <c r="S52" s="6"/>
    </row>
    <row r="53" spans="1:19">
      <c r="A53" s="4"/>
      <c r="B53" s="123"/>
      <c r="C53" s="123"/>
      <c r="D53" s="126"/>
      <c r="E53" s="123"/>
      <c r="F53" s="126"/>
      <c r="G53" s="5"/>
      <c r="H53" s="6"/>
      <c r="I53" s="6"/>
      <c r="J53" s="6"/>
      <c r="K53" s="6"/>
      <c r="L53" s="6"/>
      <c r="M53" s="6"/>
      <c r="N53" s="78"/>
      <c r="O53" s="78"/>
      <c r="P53" s="78"/>
      <c r="Q53" s="78"/>
      <c r="R53" s="78"/>
      <c r="S53" s="6"/>
    </row>
    <row r="54" spans="1:19" ht="102.95" customHeight="1" thickBot="1">
      <c r="A54" s="4"/>
      <c r="B54" s="124"/>
      <c r="C54" s="124"/>
      <c r="D54" s="127"/>
      <c r="E54" s="124"/>
      <c r="F54" s="127"/>
      <c r="G54" s="5"/>
      <c r="H54" s="6"/>
      <c r="I54" s="6"/>
      <c r="J54" s="6"/>
      <c r="K54" s="6"/>
      <c r="L54" s="6"/>
      <c r="M54" s="6"/>
      <c r="N54" s="78"/>
      <c r="O54" s="78"/>
      <c r="P54" s="78"/>
      <c r="Q54" s="78"/>
      <c r="R54" s="78"/>
      <c r="S54" s="6"/>
    </row>
    <row r="55" spans="1:19" ht="26.45" customHeight="1">
      <c r="A55" s="83"/>
      <c r="B55" s="84" t="s">
        <v>98</v>
      </c>
      <c r="C55" s="85"/>
      <c r="D55" s="85"/>
      <c r="E55" s="85"/>
      <c r="F55" s="83"/>
      <c r="G55" s="5"/>
      <c r="H55" s="6"/>
      <c r="I55" s="6"/>
      <c r="J55" s="6"/>
      <c r="K55" s="6"/>
      <c r="L55" s="6"/>
      <c r="M55" s="6"/>
      <c r="N55" s="78"/>
      <c r="O55" s="78"/>
      <c r="P55" s="78"/>
      <c r="Q55" s="78"/>
      <c r="R55" s="78"/>
      <c r="S55" s="6"/>
    </row>
    <row r="56" spans="1:19">
      <c r="A56" s="83"/>
      <c r="B56" s="86" t="s">
        <v>99</v>
      </c>
      <c r="C56" s="87" t="s">
        <v>100</v>
      </c>
      <c r="D56" s="88" t="s">
        <v>101</v>
      </c>
      <c r="E56" s="89" t="s">
        <v>80</v>
      </c>
      <c r="F56" s="89" t="s">
        <v>32</v>
      </c>
      <c r="G56" s="5"/>
      <c r="H56" s="6"/>
      <c r="I56" s="6"/>
      <c r="J56" s="6"/>
      <c r="K56" s="6"/>
      <c r="L56" s="6"/>
      <c r="M56" s="6"/>
      <c r="N56" s="78"/>
      <c r="O56" s="78"/>
      <c r="P56" s="78"/>
      <c r="Q56" s="78"/>
      <c r="R56" s="78"/>
      <c r="S56" s="6"/>
    </row>
    <row r="57" spans="1:19">
      <c r="A57" s="83"/>
      <c r="B57" s="90" t="s">
        <v>102</v>
      </c>
      <c r="C57" s="91" t="s">
        <v>61</v>
      </c>
      <c r="D57" s="92" t="s">
        <v>103</v>
      </c>
      <c r="E57" s="93">
        <f>INDEX(I6:$Q$33,MATCH($C$12,$I$6:$I$33,0),MATCH("FuelEU Target Intensity",$I$6:$Q$6,0))</f>
        <v>85.690399999999997</v>
      </c>
      <c r="F57" s="83"/>
      <c r="G57" s="5"/>
      <c r="H57" s="6"/>
      <c r="I57" s="6"/>
      <c r="J57" s="6"/>
      <c r="K57" s="6"/>
      <c r="L57" s="6"/>
      <c r="M57" s="6"/>
      <c r="N57" s="78"/>
      <c r="O57" s="78"/>
      <c r="P57" s="78"/>
      <c r="Q57" s="78"/>
      <c r="R57" s="78"/>
      <c r="S57" s="6"/>
    </row>
    <row r="58" spans="1:19">
      <c r="A58" s="83"/>
      <c r="B58" s="83"/>
      <c r="C58" s="83"/>
      <c r="D58" s="83"/>
      <c r="E58" s="83"/>
      <c r="F58" s="83"/>
      <c r="G58" s="5"/>
      <c r="H58" s="6"/>
      <c r="I58" s="6"/>
      <c r="J58" s="6"/>
      <c r="K58" s="6"/>
      <c r="L58" s="6"/>
      <c r="M58" s="6"/>
      <c r="N58" s="78"/>
      <c r="O58" s="78"/>
      <c r="P58" s="78"/>
      <c r="Q58" s="78"/>
      <c r="R58" s="78"/>
      <c r="S58" s="6"/>
    </row>
    <row r="59" spans="1:19">
      <c r="A59" s="83"/>
      <c r="B59" s="86" t="s">
        <v>11</v>
      </c>
      <c r="C59" s="83"/>
      <c r="D59" s="83"/>
      <c r="E59" s="83"/>
      <c r="F59" s="83"/>
      <c r="G59" s="5"/>
      <c r="H59" s="6"/>
      <c r="I59" s="6"/>
      <c r="J59" s="6"/>
      <c r="K59" s="6"/>
      <c r="L59" s="6"/>
      <c r="M59" s="6"/>
      <c r="N59" s="78"/>
      <c r="O59" s="78"/>
      <c r="P59" s="78"/>
      <c r="Q59" s="78"/>
      <c r="R59" s="78"/>
      <c r="S59" s="6"/>
    </row>
    <row r="60" spans="1:19">
      <c r="A60" s="83"/>
      <c r="B60" s="90" t="s">
        <v>104</v>
      </c>
      <c r="C60" s="91" t="s">
        <v>70</v>
      </c>
      <c r="D60" s="92" t="s">
        <v>103</v>
      </c>
      <c r="E60" s="93">
        <f>K40</f>
        <v>91.744200000000006</v>
      </c>
      <c r="F60" s="94" t="s">
        <v>105</v>
      </c>
      <c r="G60" s="5"/>
      <c r="H60" s="6"/>
      <c r="I60" s="6"/>
      <c r="J60" s="6"/>
      <c r="K60" s="6"/>
      <c r="L60" s="6"/>
      <c r="M60" s="6"/>
      <c r="N60" s="78"/>
      <c r="O60" s="78"/>
      <c r="P60" s="78"/>
      <c r="Q60" s="78"/>
      <c r="R60" s="78"/>
      <c r="S60" s="6"/>
    </row>
    <row r="61" spans="1:19">
      <c r="A61" s="83"/>
      <c r="B61" s="90" t="s">
        <v>106</v>
      </c>
      <c r="C61" s="95" t="s">
        <v>107</v>
      </c>
      <c r="D61" s="92" t="s">
        <v>108</v>
      </c>
      <c r="E61" s="96">
        <f>E60/1000</f>
        <v>9.1744200000000012E-2</v>
      </c>
      <c r="F61" s="94" t="s">
        <v>109</v>
      </c>
      <c r="G61" s="5"/>
      <c r="H61" s="6"/>
      <c r="I61" s="6"/>
      <c r="J61" s="6"/>
      <c r="K61" s="6"/>
      <c r="L61" s="6"/>
      <c r="M61" s="6"/>
      <c r="N61" s="6"/>
      <c r="O61" s="6"/>
      <c r="P61" s="6"/>
      <c r="Q61" s="6"/>
      <c r="R61" s="6"/>
      <c r="S61" s="6"/>
    </row>
    <row r="62" spans="1:19">
      <c r="A62" s="83"/>
      <c r="B62" s="90" t="s">
        <v>110</v>
      </c>
      <c r="C62" s="95" t="str">
        <f>IF($C$26="Yes",$D$26,"")</f>
        <v>MMM Fuel Cost Calculator, 2024</v>
      </c>
      <c r="D62" s="92" t="s">
        <v>21</v>
      </c>
      <c r="E62" s="93">
        <f>IF(C26="Yes",INDEX($I$6:$P$33,MATCH($C$12,$I$6:$I$33,0),MATCH("LSFO",$I$6:$P$6,0)),$C$27/($K$41*1000))</f>
        <v>13.456310679611649</v>
      </c>
      <c r="F62" s="83"/>
      <c r="G62" s="5"/>
      <c r="H62" s="6"/>
      <c r="I62" s="6"/>
      <c r="J62" s="6"/>
      <c r="K62" s="6"/>
      <c r="L62" s="6"/>
      <c r="M62" s="6"/>
      <c r="N62" s="78"/>
      <c r="O62" s="78"/>
      <c r="P62" s="78"/>
      <c r="Q62" s="78"/>
      <c r="R62" s="78"/>
      <c r="S62" s="6"/>
    </row>
    <row r="63" spans="1:19">
      <c r="A63" s="83"/>
      <c r="B63" s="83"/>
      <c r="C63" s="47"/>
      <c r="D63" s="97"/>
      <c r="E63" s="98"/>
      <c r="F63" s="83"/>
      <c r="G63" s="5"/>
      <c r="H63" s="6"/>
      <c r="I63" s="6"/>
      <c r="J63" s="6"/>
      <c r="K63" s="6"/>
      <c r="L63" s="6"/>
      <c r="M63" s="6"/>
      <c r="N63" s="6"/>
      <c r="O63" s="6"/>
      <c r="P63" s="6"/>
      <c r="Q63" s="6"/>
      <c r="R63" s="6"/>
      <c r="S63" s="6"/>
    </row>
    <row r="64" spans="1:19">
      <c r="A64" s="83"/>
      <c r="B64" s="86" t="s">
        <v>111</v>
      </c>
      <c r="C64" s="99"/>
      <c r="D64" s="100"/>
      <c r="E64" s="89"/>
      <c r="F64" s="83"/>
      <c r="G64" s="5"/>
      <c r="H64" s="6"/>
      <c r="I64" s="6"/>
      <c r="J64" s="6"/>
      <c r="K64" s="6"/>
      <c r="L64" s="6"/>
      <c r="M64" s="6"/>
      <c r="N64" s="78"/>
      <c r="O64" s="78"/>
      <c r="P64" s="78"/>
      <c r="Q64" s="78"/>
      <c r="R64" s="78"/>
      <c r="S64" s="6"/>
    </row>
    <row r="65" spans="1:43">
      <c r="A65" s="83"/>
      <c r="B65" s="90" t="s">
        <v>104</v>
      </c>
      <c r="C65" s="91" t="s">
        <v>70</v>
      </c>
      <c r="D65" s="92" t="s">
        <v>103</v>
      </c>
      <c r="E65" s="93">
        <f>L40</f>
        <v>16.383510000000001</v>
      </c>
      <c r="F65" s="94" t="s">
        <v>112</v>
      </c>
      <c r="G65" s="5"/>
      <c r="H65" s="6"/>
      <c r="I65" s="6"/>
      <c r="J65" s="6"/>
      <c r="K65" s="6"/>
      <c r="L65" s="6"/>
      <c r="M65" s="6"/>
      <c r="N65" s="6"/>
      <c r="O65" s="6"/>
      <c r="P65" s="6"/>
      <c r="Q65" s="6"/>
      <c r="R65" s="6"/>
      <c r="S65" s="6"/>
    </row>
    <row r="66" spans="1:43">
      <c r="A66" s="83"/>
      <c r="B66" s="90" t="s">
        <v>106</v>
      </c>
      <c r="C66" s="95" t="s">
        <v>107</v>
      </c>
      <c r="D66" s="92" t="s">
        <v>108</v>
      </c>
      <c r="E66" s="96">
        <f>E65/1000</f>
        <v>1.638351E-2</v>
      </c>
      <c r="F66" s="94" t="s">
        <v>109</v>
      </c>
      <c r="G66" s="5"/>
      <c r="H66" s="6"/>
      <c r="I66" s="6"/>
      <c r="J66" s="6"/>
      <c r="K66" s="6"/>
      <c r="L66" s="6"/>
      <c r="M66" s="6"/>
      <c r="N66" s="78"/>
      <c r="O66" s="78"/>
      <c r="P66" s="78"/>
      <c r="Q66" s="78"/>
      <c r="R66" s="78"/>
      <c r="S66" s="6"/>
    </row>
    <row r="67" spans="1:43" ht="18.75">
      <c r="A67" s="85"/>
      <c r="B67" s="90" t="s">
        <v>110</v>
      </c>
      <c r="C67" s="95" t="str">
        <f>IF($C$30="Yes",$D$30,"")</f>
        <v>LR &amp; UMAS, 2021</v>
      </c>
      <c r="D67" s="92" t="s">
        <v>21</v>
      </c>
      <c r="E67" s="93">
        <f>IF(C30="Yes",INDEX($I$6:$P$33,MATCH($C$12,$I$6:$I$33,0),MATCH("100% Biodiesel (FAME)",$I$6:$P$6,0)),$C$31/($L$41*1000))</f>
        <v>40.700000000000003</v>
      </c>
      <c r="F67" s="83"/>
      <c r="G67" s="5"/>
      <c r="H67" s="6"/>
      <c r="I67" s="6"/>
      <c r="J67" s="6"/>
      <c r="K67" s="6"/>
      <c r="L67" s="6"/>
      <c r="M67" s="6"/>
      <c r="N67" s="6"/>
      <c r="O67" s="6"/>
      <c r="P67" s="6"/>
      <c r="Q67" s="6"/>
      <c r="R67" s="6"/>
      <c r="S67" s="6"/>
    </row>
    <row r="68" spans="1:43">
      <c r="A68" s="83"/>
      <c r="B68" s="83"/>
      <c r="C68" s="47"/>
      <c r="D68" s="97"/>
      <c r="E68" s="98"/>
      <c r="F68" s="83"/>
      <c r="G68" s="5"/>
      <c r="H68" s="6"/>
      <c r="I68" s="6"/>
      <c r="J68" s="6"/>
      <c r="K68" s="6"/>
      <c r="L68" s="6"/>
      <c r="M68" s="6"/>
      <c r="N68" s="78"/>
      <c r="O68" s="78"/>
      <c r="P68" s="78"/>
      <c r="Q68" s="78"/>
      <c r="R68" s="78"/>
      <c r="S68" s="6"/>
    </row>
    <row r="69" spans="1:43">
      <c r="A69" s="83"/>
      <c r="B69" s="86" t="s">
        <v>113</v>
      </c>
      <c r="C69" s="99"/>
      <c r="D69" s="100"/>
      <c r="E69" s="89"/>
      <c r="F69" s="83"/>
      <c r="G69" s="5"/>
      <c r="H69" s="6"/>
      <c r="I69" s="6"/>
      <c r="J69" s="6"/>
      <c r="K69" s="6"/>
      <c r="L69" s="6"/>
      <c r="M69" s="6"/>
      <c r="N69" s="78"/>
      <c r="O69" s="78"/>
      <c r="P69" s="78"/>
      <c r="Q69" s="78"/>
      <c r="R69" s="78"/>
      <c r="S69" s="6"/>
    </row>
    <row r="70" spans="1:43">
      <c r="A70" s="83"/>
      <c r="B70" s="90" t="s">
        <v>104</v>
      </c>
      <c r="C70" s="95" t="s">
        <v>114</v>
      </c>
      <c r="D70" s="92" t="s">
        <v>103</v>
      </c>
      <c r="E70" s="101">
        <f>$L$46*(1-$C$15)</f>
        <v>9.3999999999999986</v>
      </c>
      <c r="F70" s="94" t="s">
        <v>115</v>
      </c>
      <c r="G70" s="5"/>
      <c r="H70" s="6"/>
      <c r="I70" s="6"/>
      <c r="J70" s="6"/>
      <c r="K70" s="6"/>
      <c r="L70" s="6"/>
      <c r="M70" s="6"/>
      <c r="N70" s="78"/>
      <c r="O70" s="78"/>
      <c r="P70" s="78"/>
      <c r="Q70" s="78"/>
      <c r="R70" s="78"/>
      <c r="S70" s="6"/>
    </row>
    <row r="71" spans="1:43">
      <c r="A71" s="83"/>
      <c r="B71" s="90" t="s">
        <v>106</v>
      </c>
      <c r="C71" s="95" t="s">
        <v>107</v>
      </c>
      <c r="D71" s="92" t="s">
        <v>108</v>
      </c>
      <c r="E71" s="96">
        <f>E70/1000</f>
        <v>9.3999999999999986E-3</v>
      </c>
      <c r="F71" s="94" t="s">
        <v>109</v>
      </c>
      <c r="G71" s="5"/>
      <c r="H71" s="6"/>
      <c r="I71" s="6"/>
      <c r="J71" s="6"/>
      <c r="K71" s="6"/>
      <c r="L71" s="6"/>
      <c r="M71" s="6"/>
      <c r="N71" s="78"/>
      <c r="O71" s="78"/>
      <c r="P71" s="78"/>
      <c r="Q71" s="78"/>
      <c r="R71" s="78"/>
      <c r="S71" s="6"/>
    </row>
    <row r="72" spans="1:43">
      <c r="A72" s="83"/>
      <c r="B72" s="90" t="s">
        <v>110</v>
      </c>
      <c r="C72" s="95" t="s">
        <v>116</v>
      </c>
      <c r="D72" s="92" t="s">
        <v>21</v>
      </c>
      <c r="E72" s="93">
        <f>C17/(K41*1000)</f>
        <v>49.382716049382715</v>
      </c>
      <c r="F72" s="94" t="s">
        <v>117</v>
      </c>
      <c r="G72" s="5"/>
      <c r="H72" s="6"/>
      <c r="I72" s="6"/>
      <c r="J72" s="6"/>
      <c r="K72" s="6"/>
      <c r="L72" s="6"/>
      <c r="M72" s="6"/>
      <c r="N72" s="78"/>
      <c r="O72" s="78"/>
      <c r="P72" s="78"/>
      <c r="Q72" s="78"/>
      <c r="R72" s="78"/>
      <c r="S72" s="6"/>
    </row>
    <row r="73" spans="1:43">
      <c r="A73" s="83"/>
      <c r="B73" s="83"/>
      <c r="C73" s="47"/>
      <c r="D73" s="97"/>
      <c r="E73" s="98"/>
      <c r="F73" s="83"/>
      <c r="G73" s="5"/>
      <c r="H73" s="6"/>
      <c r="I73" s="6"/>
      <c r="J73" s="6"/>
      <c r="K73" s="6"/>
      <c r="L73" s="6"/>
      <c r="M73" s="6"/>
      <c r="N73" s="78"/>
      <c r="O73" s="78"/>
      <c r="P73" s="78"/>
      <c r="Q73" s="78"/>
      <c r="R73" s="78"/>
      <c r="S73" s="6"/>
    </row>
    <row r="74" spans="1:43">
      <c r="A74" s="83"/>
      <c r="B74" s="83"/>
      <c r="C74" s="47"/>
      <c r="D74" s="97"/>
      <c r="E74" s="98"/>
      <c r="F74" s="83"/>
      <c r="G74" s="5"/>
      <c r="H74" s="6"/>
      <c r="I74" s="6"/>
      <c r="J74" s="6"/>
      <c r="K74" s="6"/>
      <c r="L74" s="6"/>
      <c r="M74" s="6"/>
      <c r="N74" s="78"/>
      <c r="O74" s="78"/>
      <c r="P74" s="78"/>
      <c r="Q74" s="78"/>
      <c r="R74" s="78"/>
      <c r="S74" s="6"/>
      <c r="U74">
        <v>14.241262135922296</v>
      </c>
      <c r="V74">
        <v>13.848786407766889</v>
      </c>
      <c r="W74">
        <v>13.456310679611649</v>
      </c>
      <c r="X74">
        <v>13.456310679611649</v>
      </c>
      <c r="Y74">
        <v>13.456310679611649</v>
      </c>
      <c r="Z74">
        <v>13.456310679611649</v>
      </c>
      <c r="AA74">
        <v>13.456310679611649</v>
      </c>
      <c r="AB74">
        <v>13.456310679611649</v>
      </c>
      <c r="AC74">
        <v>13.456310679611649</v>
      </c>
      <c r="AD74">
        <v>13.456310679611649</v>
      </c>
      <c r="AE74">
        <v>13.456310679611649</v>
      </c>
      <c r="AF74">
        <v>13.456310679611649</v>
      </c>
      <c r="AG74">
        <v>13.456310679611649</v>
      </c>
      <c r="AH74">
        <v>13.456310679611649</v>
      </c>
      <c r="AI74">
        <v>13.456310679611649</v>
      </c>
      <c r="AJ74">
        <v>13.456310679611649</v>
      </c>
      <c r="AK74">
        <v>13.456310679611649</v>
      </c>
      <c r="AL74">
        <v>13.456310679611649</v>
      </c>
      <c r="AM74">
        <v>13.456310679611649</v>
      </c>
      <c r="AN74">
        <v>13.456310679611649</v>
      </c>
      <c r="AO74">
        <v>13.456310679611649</v>
      </c>
      <c r="AP74">
        <v>13.456310679611649</v>
      </c>
      <c r="AQ74">
        <v>13.456310679611649</v>
      </c>
    </row>
    <row r="75" spans="1:43" ht="21">
      <c r="A75" s="83"/>
      <c r="B75" s="84" t="s">
        <v>118</v>
      </c>
      <c r="C75" s="47"/>
      <c r="D75" s="97"/>
      <c r="E75" s="98"/>
      <c r="F75" s="83"/>
      <c r="G75" s="5"/>
      <c r="H75" s="6"/>
      <c r="I75" s="6"/>
      <c r="J75" s="6"/>
      <c r="K75" s="6"/>
      <c r="L75" s="6"/>
      <c r="M75" s="6"/>
      <c r="N75" s="78"/>
      <c r="O75" s="78"/>
      <c r="P75" s="78"/>
      <c r="Q75" s="78"/>
      <c r="R75" s="78"/>
      <c r="S75" s="6"/>
    </row>
    <row r="76" spans="1:43">
      <c r="A76" s="83"/>
      <c r="B76" s="86" t="s">
        <v>119</v>
      </c>
      <c r="C76" s="99"/>
      <c r="D76" s="100"/>
      <c r="E76" s="89"/>
      <c r="F76" s="83"/>
      <c r="G76" s="5"/>
      <c r="H76" s="6"/>
      <c r="I76" s="6"/>
      <c r="J76" s="6"/>
      <c r="K76" s="6"/>
      <c r="L76" s="6"/>
      <c r="M76" s="6"/>
      <c r="N76" s="6"/>
      <c r="O76" s="6"/>
      <c r="P76" s="6"/>
      <c r="Q76" s="6"/>
      <c r="R76" s="6"/>
      <c r="S76" s="6"/>
    </row>
    <row r="77" spans="1:43">
      <c r="A77" s="83"/>
      <c r="B77" s="90" t="s">
        <v>120</v>
      </c>
      <c r="C77" s="95" t="s">
        <v>121</v>
      </c>
      <c r="D77" s="92" t="s">
        <v>21</v>
      </c>
      <c r="E77" s="93">
        <f>E67-E62</f>
        <v>27.243689320388356</v>
      </c>
      <c r="F77" s="94" t="s">
        <v>122</v>
      </c>
      <c r="G77" s="5"/>
      <c r="H77" s="6"/>
      <c r="I77" s="6"/>
      <c r="J77" s="6"/>
      <c r="K77" s="6"/>
      <c r="L77" s="6"/>
      <c r="M77" s="6"/>
      <c r="N77" s="78"/>
      <c r="O77" s="78"/>
      <c r="P77" s="78"/>
      <c r="Q77" s="78"/>
      <c r="R77" s="78"/>
      <c r="S77" s="6"/>
      <c r="U77">
        <v>14.241262135922296</v>
      </c>
    </row>
    <row r="78" spans="1:43">
      <c r="A78" s="83"/>
      <c r="B78" s="90" t="s">
        <v>123</v>
      </c>
      <c r="C78" s="95" t="s">
        <v>124</v>
      </c>
      <c r="D78" s="92" t="s">
        <v>125</v>
      </c>
      <c r="E78" s="96">
        <f>E61-E66</f>
        <v>7.5360690000000008E-2</v>
      </c>
      <c r="F78" s="83"/>
      <c r="G78" s="5"/>
      <c r="H78" s="6"/>
      <c r="I78" s="6"/>
      <c r="J78" s="6"/>
      <c r="K78" s="6"/>
      <c r="L78" s="6"/>
      <c r="M78" s="6"/>
      <c r="N78" s="6"/>
      <c r="O78" s="6"/>
      <c r="P78" s="6"/>
      <c r="Q78" s="6"/>
      <c r="R78" s="6"/>
      <c r="S78" s="6"/>
      <c r="U78">
        <v>13.848786407766889</v>
      </c>
    </row>
    <row r="79" spans="1:43">
      <c r="A79" s="83"/>
      <c r="B79" s="90" t="s">
        <v>126</v>
      </c>
      <c r="C79" s="95" t="s">
        <v>127</v>
      </c>
      <c r="D79" s="92" t="s">
        <v>125</v>
      </c>
      <c r="E79" s="96">
        <f>(E60-E57)/1000</f>
        <v>6.0538000000000093E-3</v>
      </c>
      <c r="F79" s="94" t="s">
        <v>128</v>
      </c>
      <c r="G79" s="5"/>
      <c r="H79" s="6"/>
      <c r="I79" s="6"/>
      <c r="J79" s="6"/>
      <c r="K79" s="6"/>
      <c r="L79" s="6"/>
      <c r="M79" s="6"/>
      <c r="N79" s="78"/>
      <c r="O79" s="78"/>
      <c r="P79" s="78"/>
      <c r="Q79" s="78"/>
      <c r="R79" s="78"/>
      <c r="S79" s="6"/>
      <c r="U79">
        <v>13.456310679611649</v>
      </c>
    </row>
    <row r="80" spans="1:43" ht="20.100000000000001" customHeight="1">
      <c r="A80" s="83"/>
      <c r="B80" s="90" t="s">
        <v>129</v>
      </c>
      <c r="C80" s="95" t="s">
        <v>130</v>
      </c>
      <c r="D80" s="92" t="s">
        <v>131</v>
      </c>
      <c r="E80" s="102">
        <f>E79/E78</f>
        <v>8.0331005461866237E-2</v>
      </c>
      <c r="F80" s="94" t="s">
        <v>132</v>
      </c>
      <c r="G80" s="5"/>
      <c r="H80" s="6"/>
      <c r="I80" s="6"/>
      <c r="J80" s="6"/>
      <c r="K80" s="6"/>
      <c r="L80" s="6"/>
      <c r="M80" s="6"/>
      <c r="N80" s="6"/>
      <c r="O80" s="6"/>
      <c r="P80" s="6"/>
      <c r="Q80" s="6"/>
      <c r="R80" s="6"/>
      <c r="S80" s="6"/>
      <c r="U80">
        <v>13.456310679611649</v>
      </c>
    </row>
    <row r="81" spans="1:21">
      <c r="A81" s="83"/>
      <c r="B81" s="90" t="s">
        <v>133</v>
      </c>
      <c r="C81" s="95" t="s">
        <v>134</v>
      </c>
      <c r="D81" s="92" t="s">
        <v>135</v>
      </c>
      <c r="E81" s="93">
        <f>E77/E78</f>
        <v>361.51061409321426</v>
      </c>
      <c r="F81" s="94" t="s">
        <v>136</v>
      </c>
      <c r="G81" s="5"/>
      <c r="H81" s="6"/>
      <c r="I81" s="6"/>
      <c r="J81" s="6"/>
      <c r="K81" s="6"/>
      <c r="L81" s="6"/>
      <c r="M81" s="6"/>
      <c r="N81" s="78"/>
      <c r="O81" s="78"/>
      <c r="P81" s="78"/>
      <c r="Q81" s="78"/>
      <c r="R81" s="78"/>
      <c r="S81" s="6"/>
      <c r="U81">
        <v>13.456310679611649</v>
      </c>
    </row>
    <row r="82" spans="1:21" ht="22.5">
      <c r="A82" s="83"/>
      <c r="B82" s="90" t="s">
        <v>137</v>
      </c>
      <c r="C82" s="95" t="s">
        <v>138</v>
      </c>
      <c r="D82" s="92" t="s">
        <v>139</v>
      </c>
      <c r="E82" s="93">
        <f>($E$60-$E$57)*(E80*$L$41+(1-E80)*K41)</f>
        <v>0.24347682255697273</v>
      </c>
      <c r="F82" s="103" t="s">
        <v>140</v>
      </c>
      <c r="G82" s="5"/>
      <c r="H82" s="6"/>
      <c r="I82" s="6"/>
      <c r="J82" s="6"/>
      <c r="K82" s="6"/>
      <c r="L82" s="6"/>
      <c r="M82" s="6"/>
      <c r="N82" s="78"/>
      <c r="O82" s="78"/>
      <c r="P82" s="78"/>
      <c r="Q82" s="78"/>
      <c r="R82" s="78"/>
      <c r="S82" s="6"/>
      <c r="U82">
        <v>13.456310679611649</v>
      </c>
    </row>
    <row r="83" spans="1:21" ht="27">
      <c r="A83" s="83"/>
      <c r="B83" s="104" t="s">
        <v>141</v>
      </c>
      <c r="C83" s="105" t="s">
        <v>142</v>
      </c>
      <c r="D83" s="95" t="s">
        <v>143</v>
      </c>
      <c r="E83" s="93">
        <f>E81*E82</f>
        <v>88.019455640035773</v>
      </c>
      <c r="F83" s="103" t="s">
        <v>144</v>
      </c>
      <c r="G83" s="5"/>
      <c r="H83" s="6"/>
      <c r="I83" s="6"/>
      <c r="J83" s="6"/>
      <c r="K83" s="6"/>
      <c r="L83" s="6"/>
      <c r="M83" s="6"/>
      <c r="N83" s="78"/>
      <c r="O83" s="78"/>
      <c r="P83" s="78"/>
      <c r="Q83" s="78"/>
      <c r="R83" s="78"/>
      <c r="S83" s="6"/>
      <c r="U83">
        <v>13.456310679611649</v>
      </c>
    </row>
    <row r="84" spans="1:21">
      <c r="A84" s="83"/>
      <c r="B84" s="83"/>
      <c r="C84" s="83"/>
      <c r="D84" s="83"/>
      <c r="E84" s="106" t="s">
        <v>54</v>
      </c>
      <c r="F84" s="94"/>
      <c r="G84" s="5"/>
      <c r="H84" s="6"/>
      <c r="I84" s="6"/>
      <c r="J84" s="6"/>
      <c r="K84" s="6"/>
      <c r="L84" s="6"/>
      <c r="M84" s="6"/>
      <c r="N84" s="78"/>
      <c r="O84" s="78"/>
      <c r="P84" s="78"/>
      <c r="Q84" s="78"/>
      <c r="R84" s="78"/>
      <c r="S84" s="6"/>
      <c r="U84">
        <v>13.456310679611649</v>
      </c>
    </row>
    <row r="85" spans="1:21">
      <c r="A85" s="83"/>
      <c r="B85" s="86" t="s">
        <v>145</v>
      </c>
      <c r="C85" s="99"/>
      <c r="D85" s="100"/>
      <c r="E85" s="89"/>
      <c r="F85" s="94"/>
      <c r="G85" s="5"/>
      <c r="H85" s="6"/>
      <c r="I85" s="6"/>
      <c r="J85" s="6"/>
      <c r="K85" s="6"/>
      <c r="L85" s="6"/>
      <c r="M85" s="6"/>
      <c r="N85" s="78"/>
      <c r="O85" s="78"/>
      <c r="P85" s="78"/>
      <c r="Q85" s="78"/>
      <c r="R85" s="78"/>
      <c r="S85" s="6"/>
      <c r="U85">
        <v>13.456310679611649</v>
      </c>
    </row>
    <row r="86" spans="1:21" ht="17.45" customHeight="1">
      <c r="A86" s="83"/>
      <c r="B86" s="104" t="s">
        <v>146</v>
      </c>
      <c r="C86" s="105" t="s">
        <v>147</v>
      </c>
      <c r="D86" s="95" t="s">
        <v>135</v>
      </c>
      <c r="E86" s="93">
        <f>($L$49*$L$48)/($K$40*0.041)</f>
        <v>726.2185670964991</v>
      </c>
      <c r="F86" s="94" t="s">
        <v>148</v>
      </c>
      <c r="G86" s="5"/>
      <c r="H86" s="6"/>
      <c r="I86" s="6"/>
      <c r="J86" s="6"/>
      <c r="K86" s="6"/>
      <c r="L86" s="6"/>
      <c r="M86" s="6"/>
      <c r="N86" s="78"/>
      <c r="O86" s="78"/>
      <c r="P86" s="78"/>
      <c r="Q86" s="78"/>
      <c r="R86" s="78"/>
      <c r="S86" s="6"/>
      <c r="U86">
        <v>13.456310679611649</v>
      </c>
    </row>
    <row r="87" spans="1:21" ht="17.45" customHeight="1">
      <c r="A87" s="83"/>
      <c r="B87" s="90" t="s">
        <v>137</v>
      </c>
      <c r="C87" s="95" t="s">
        <v>138</v>
      </c>
      <c r="D87" s="92" t="s">
        <v>139</v>
      </c>
      <c r="E87" s="93">
        <f>($E$60-$E$57)*$K$41</f>
        <v>0.24517890000000039</v>
      </c>
      <c r="F87" s="103" t="s">
        <v>149</v>
      </c>
      <c r="G87" s="5"/>
      <c r="H87" s="6"/>
      <c r="I87" s="6"/>
      <c r="J87" s="6"/>
      <c r="K87" s="6"/>
      <c r="L87" s="6"/>
      <c r="M87" s="6"/>
      <c r="N87" s="6"/>
      <c r="O87" s="6"/>
      <c r="P87" s="6"/>
      <c r="Q87" s="6"/>
      <c r="R87" s="6"/>
      <c r="S87" s="6"/>
      <c r="U87">
        <v>13.456310679611649</v>
      </c>
    </row>
    <row r="88" spans="1:21" ht="17.45" customHeight="1">
      <c r="A88" s="83"/>
      <c r="B88" s="104" t="s">
        <v>150</v>
      </c>
      <c r="C88" s="105" t="s">
        <v>142</v>
      </c>
      <c r="D88" s="95" t="s">
        <v>143</v>
      </c>
      <c r="E88" s="93">
        <f>E86*E87</f>
        <v>178.05346944029614</v>
      </c>
      <c r="F88" s="103" t="s">
        <v>151</v>
      </c>
      <c r="G88" s="5"/>
      <c r="H88" s="6"/>
      <c r="I88" s="6"/>
      <c r="J88" s="6"/>
      <c r="K88" s="6"/>
      <c r="L88" s="6"/>
      <c r="M88" s="6"/>
      <c r="N88" s="78"/>
      <c r="O88" s="78"/>
      <c r="P88" s="78"/>
      <c r="Q88" s="78"/>
      <c r="R88" s="78"/>
      <c r="S88" s="6"/>
      <c r="U88">
        <v>13.456310679611649</v>
      </c>
    </row>
    <row r="89" spans="1:21">
      <c r="A89" s="83"/>
      <c r="B89" s="83"/>
      <c r="C89" s="83"/>
      <c r="D89" s="83"/>
      <c r="E89" s="83"/>
      <c r="F89" s="94"/>
      <c r="G89" s="5"/>
      <c r="H89" s="6"/>
      <c r="I89" s="6"/>
      <c r="J89" s="6"/>
      <c r="K89" s="6"/>
      <c r="L89" s="6"/>
      <c r="M89" s="6"/>
      <c r="N89" s="78"/>
      <c r="O89" s="78"/>
      <c r="P89" s="78"/>
      <c r="Q89" s="78"/>
      <c r="R89" s="78"/>
      <c r="S89" s="6"/>
      <c r="U89">
        <v>13.456310679611649</v>
      </c>
    </row>
    <row r="90" spans="1:21">
      <c r="A90" s="83"/>
      <c r="B90" s="86" t="s">
        <v>152</v>
      </c>
      <c r="C90" s="99"/>
      <c r="D90" s="100"/>
      <c r="E90" s="89"/>
      <c r="F90" s="94"/>
      <c r="G90" s="5"/>
      <c r="H90" s="6"/>
      <c r="I90" s="6"/>
      <c r="J90" s="6"/>
      <c r="K90" s="6"/>
      <c r="L90" s="6"/>
      <c r="M90" s="6"/>
      <c r="N90" s="78"/>
      <c r="O90" s="6"/>
      <c r="P90" s="6"/>
      <c r="Q90" s="6"/>
      <c r="R90" s="6"/>
      <c r="S90" s="6"/>
      <c r="U90">
        <v>13.456310679611649</v>
      </c>
    </row>
    <row r="91" spans="1:21" ht="20.100000000000001" customHeight="1">
      <c r="A91" s="83"/>
      <c r="B91" s="90" t="s">
        <v>153</v>
      </c>
      <c r="C91" s="105" t="s">
        <v>154</v>
      </c>
      <c r="D91" s="92" t="s">
        <v>155</v>
      </c>
      <c r="E91" s="93">
        <f>$K$42*$K$41</f>
        <v>3.1688901000000005</v>
      </c>
      <c r="F91" s="103" t="s">
        <v>156</v>
      </c>
      <c r="G91" s="5"/>
      <c r="H91" s="6"/>
      <c r="I91" s="6"/>
      <c r="J91" s="6"/>
      <c r="K91" s="6"/>
      <c r="L91" s="6"/>
      <c r="M91" s="6"/>
      <c r="N91" s="6"/>
      <c r="O91" s="6"/>
      <c r="P91" s="6"/>
      <c r="Q91" s="6"/>
      <c r="R91" s="6"/>
      <c r="S91" s="6"/>
      <c r="U91">
        <v>13.456310679611649</v>
      </c>
    </row>
    <row r="92" spans="1:21" ht="20.100000000000001" customHeight="1">
      <c r="A92" s="83"/>
      <c r="B92" s="90" t="s">
        <v>157</v>
      </c>
      <c r="C92" s="105" t="s">
        <v>158</v>
      </c>
      <c r="D92" s="92" t="s">
        <v>155</v>
      </c>
      <c r="E92" s="107">
        <f>(K42*(1-E80)+E80*L42)*1/((1-E80)/K41+E80/L41)</f>
        <v>2.8971414053095548</v>
      </c>
      <c r="F92" s="103" t="s">
        <v>159</v>
      </c>
      <c r="G92" s="5"/>
      <c r="H92" s="6"/>
      <c r="I92" s="6"/>
      <c r="J92" s="6"/>
      <c r="K92" s="6"/>
      <c r="L92" s="6"/>
      <c r="M92" s="6"/>
      <c r="N92" s="6"/>
      <c r="O92" s="6"/>
      <c r="P92" s="6"/>
      <c r="Q92" s="6"/>
      <c r="R92" s="6"/>
      <c r="S92" s="6"/>
      <c r="U92">
        <v>13.456310679611649</v>
      </c>
    </row>
    <row r="93" spans="1:21" ht="20.100000000000001" customHeight="1">
      <c r="A93" s="83"/>
      <c r="B93" s="104" t="str">
        <f>C12&amp;" ETS Price"</f>
        <v>2033 ETS Price</v>
      </c>
      <c r="C93" s="95" t="str">
        <f>IF($C$34="Yes",$D$34,"")</f>
        <v>Pietzcker et al., 2021</v>
      </c>
      <c r="D93" s="92" t="s">
        <v>160</v>
      </c>
      <c r="E93" s="108">
        <f>IF($C$34="Yes",INDEX($I$6:$P$33,MATCH($C$12,$I$6:$I$33,0),MATCH("ETS price projection with phase-in",$I$6:$P$6,0)),$C$35*_xlfn.XLOOKUP($C$12,$I$6:$I$33,$N$6:$N$33))</f>
        <v>187.06707200000002</v>
      </c>
      <c r="F93" s="103" t="s">
        <v>161</v>
      </c>
      <c r="G93" s="5"/>
      <c r="H93" s="6"/>
      <c r="I93" s="6"/>
      <c r="J93" s="6"/>
      <c r="K93" s="6"/>
      <c r="L93" s="6"/>
      <c r="M93" s="6"/>
      <c r="N93" s="6"/>
      <c r="O93" s="6"/>
      <c r="P93" s="6"/>
      <c r="Q93" s="6"/>
      <c r="R93" s="6"/>
      <c r="S93" s="6"/>
      <c r="U93">
        <v>13.456310679611649</v>
      </c>
    </row>
    <row r="94" spans="1:21" ht="20.100000000000001" customHeight="1">
      <c r="A94" s="83"/>
      <c r="B94" s="90" t="s">
        <v>162</v>
      </c>
      <c r="C94" s="105" t="s">
        <v>163</v>
      </c>
      <c r="D94" s="92" t="s">
        <v>164</v>
      </c>
      <c r="E94" s="93">
        <f>(E91-E92)*E93</f>
        <v>50.835232635563635</v>
      </c>
      <c r="F94" s="103" t="s">
        <v>165</v>
      </c>
      <c r="G94" s="5"/>
      <c r="H94" s="6"/>
      <c r="I94" s="6"/>
      <c r="J94" s="6"/>
      <c r="K94" s="6"/>
      <c r="L94" s="6"/>
      <c r="M94" s="6"/>
      <c r="N94" s="6"/>
      <c r="O94" s="6"/>
      <c r="P94" s="6"/>
      <c r="Q94" s="6"/>
      <c r="R94" s="6"/>
      <c r="S94" s="6"/>
      <c r="U94">
        <v>13.456310679611649</v>
      </c>
    </row>
    <row r="95" spans="1:21" ht="20.100000000000001" customHeight="1">
      <c r="A95" s="83"/>
      <c r="B95" s="90" t="s">
        <v>166</v>
      </c>
      <c r="C95" s="105" t="s">
        <v>167</v>
      </c>
      <c r="D95" s="92" t="s">
        <v>164</v>
      </c>
      <c r="E95" s="93">
        <f>E83-E94</f>
        <v>37.184223004472138</v>
      </c>
      <c r="F95" s="103" t="s">
        <v>168</v>
      </c>
      <c r="G95" s="5"/>
      <c r="H95" s="6"/>
      <c r="I95" s="6"/>
      <c r="J95" s="6"/>
      <c r="K95" s="6"/>
      <c r="L95" s="6"/>
      <c r="M95" s="6"/>
      <c r="N95" s="78"/>
      <c r="O95" s="78"/>
      <c r="P95" s="78"/>
      <c r="Q95" s="78"/>
      <c r="R95" s="78"/>
      <c r="S95" s="6"/>
      <c r="U95">
        <v>13.456310679611649</v>
      </c>
    </row>
    <row r="96" spans="1:21" ht="17.45" customHeight="1">
      <c r="A96" s="83"/>
      <c r="B96" s="103"/>
      <c r="C96" s="103"/>
      <c r="D96" s="103"/>
      <c r="E96" s="103"/>
      <c r="F96" s="103"/>
      <c r="G96" s="5"/>
      <c r="H96" s="6"/>
      <c r="I96" s="6"/>
      <c r="J96" s="6"/>
      <c r="K96" s="6"/>
      <c r="L96" s="6"/>
      <c r="M96" s="6"/>
      <c r="N96" s="78"/>
      <c r="O96" s="78"/>
      <c r="P96" s="78"/>
      <c r="Q96" s="78"/>
      <c r="R96" s="78"/>
      <c r="S96" s="6"/>
      <c r="U96">
        <v>13.456310679611649</v>
      </c>
    </row>
    <row r="97" spans="1:21" ht="20.100000000000001" customHeight="1" thickBot="1">
      <c r="A97" s="83"/>
      <c r="B97" s="86" t="s">
        <v>169</v>
      </c>
      <c r="C97" s="103"/>
      <c r="D97" s="103"/>
      <c r="E97" s="103"/>
      <c r="F97" s="103"/>
      <c r="G97" s="5"/>
      <c r="H97" s="6"/>
      <c r="I97" s="6"/>
      <c r="J97" s="6"/>
      <c r="K97" s="6"/>
      <c r="L97" s="6"/>
      <c r="M97" s="6"/>
      <c r="N97" s="78"/>
      <c r="O97" s="78"/>
      <c r="P97" s="78"/>
      <c r="Q97" s="78"/>
      <c r="R97" s="78"/>
      <c r="S97" s="6"/>
      <c r="U97">
        <v>13.456310679611649</v>
      </c>
    </row>
    <row r="98" spans="1:21" ht="20.100000000000001" customHeight="1" thickBot="1">
      <c r="A98" s="83"/>
      <c r="B98" s="109" t="str">
        <f>IF(MIN(E88,E95)=E95,"Biodiesel","Penalty")</f>
        <v>Biodiesel</v>
      </c>
      <c r="C98" s="103" t="s">
        <v>170</v>
      </c>
      <c r="D98" s="103"/>
      <c r="E98" s="103"/>
      <c r="F98" s="103"/>
      <c r="G98" s="5"/>
      <c r="H98" s="6"/>
      <c r="I98" s="6"/>
      <c r="J98" s="6"/>
      <c r="K98" s="6"/>
      <c r="L98" s="6"/>
      <c r="M98" s="6"/>
      <c r="N98" s="78"/>
      <c r="O98" s="78"/>
      <c r="P98" s="78"/>
      <c r="Q98" s="78"/>
      <c r="R98" s="78"/>
      <c r="S98" s="6"/>
      <c r="U98">
        <v>13.456310679611649</v>
      </c>
    </row>
    <row r="99" spans="1:21" ht="20.100000000000001" customHeight="1">
      <c r="A99" s="83"/>
      <c r="B99" s="90" t="str">
        <f>IF(MIN(E88,E95)=E95,"FuelEU - Additional cost to blend "&amp;ROUND(E80*100,0)&amp;"% biodiesel",B88)</f>
        <v>FuelEU - Additional cost to blend 8% biodiesel</v>
      </c>
      <c r="C99" s="105" t="s">
        <v>171</v>
      </c>
      <c r="D99" s="92" t="s">
        <v>164</v>
      </c>
      <c r="E99" s="93">
        <f>MIN(E95,E88)</f>
        <v>37.184223004472138</v>
      </c>
      <c r="F99" s="103" t="s">
        <v>172</v>
      </c>
      <c r="G99" s="5"/>
      <c r="H99" s="6"/>
      <c r="I99" s="6"/>
      <c r="J99" s="6"/>
      <c r="K99" s="6"/>
      <c r="L99" s="6"/>
      <c r="M99" s="6"/>
      <c r="N99" s="78"/>
      <c r="O99" s="78"/>
      <c r="P99" s="78"/>
      <c r="Q99" s="78"/>
      <c r="R99" s="78"/>
      <c r="S99" s="6"/>
      <c r="U99">
        <v>13.456310679611649</v>
      </c>
    </row>
    <row r="100" spans="1:21">
      <c r="A100" s="83"/>
      <c r="B100" s="83"/>
      <c r="C100" s="83"/>
      <c r="D100" s="83"/>
      <c r="E100" s="83"/>
      <c r="F100" s="83"/>
      <c r="G100" s="5"/>
      <c r="H100" s="6"/>
      <c r="I100" s="6"/>
      <c r="J100" s="6"/>
      <c r="K100" s="6"/>
      <c r="L100" s="6"/>
      <c r="M100" s="6"/>
      <c r="N100" s="78"/>
      <c r="O100" s="78"/>
      <c r="P100" s="78"/>
      <c r="Q100" s="78"/>
      <c r="R100" s="78"/>
      <c r="S100" s="6"/>
    </row>
    <row r="101" spans="1:21">
      <c r="A101" s="83"/>
      <c r="B101" s="86" t="s">
        <v>173</v>
      </c>
      <c r="C101" s="99"/>
      <c r="D101" s="100"/>
      <c r="E101" s="89"/>
      <c r="F101" s="83"/>
      <c r="G101" s="5"/>
      <c r="H101" s="6"/>
      <c r="I101" s="6"/>
      <c r="J101" s="6"/>
      <c r="K101" s="6"/>
      <c r="L101" s="6"/>
      <c r="M101" s="6"/>
      <c r="N101" s="78"/>
      <c r="O101" s="78"/>
      <c r="P101" s="78"/>
      <c r="Q101" s="78"/>
      <c r="R101" s="78"/>
      <c r="S101" s="6"/>
    </row>
    <row r="102" spans="1:21" ht="17.45" customHeight="1">
      <c r="A102" s="83"/>
      <c r="B102" s="90" t="s">
        <v>174</v>
      </c>
      <c r="C102" s="95" t="str">
        <f>IF($C$26="Yes",$D$26,"")</f>
        <v>MMM Fuel Cost Calculator, 2024</v>
      </c>
      <c r="D102" s="92" t="s">
        <v>175</v>
      </c>
      <c r="E102" s="108">
        <f>IF($C$26="Yes",INDEX($I$6:$P$33,MATCH($C$12,$I$6:$I$33,0),MATCH("LSFO cost per tonne",$I$6:$P$6,0)),$C$27)</f>
        <v>544.98058252427188</v>
      </c>
      <c r="F102" s="103"/>
      <c r="G102" s="5"/>
      <c r="H102" s="6"/>
      <c r="I102" s="6"/>
      <c r="J102" s="6"/>
      <c r="K102" s="6"/>
      <c r="L102" s="6"/>
      <c r="M102" s="6"/>
      <c r="N102" s="78"/>
      <c r="O102" s="78"/>
      <c r="P102" s="78"/>
      <c r="Q102" s="78"/>
      <c r="R102" s="78"/>
      <c r="S102" s="6"/>
    </row>
    <row r="103" spans="1:21" ht="17.45" customHeight="1">
      <c r="A103" s="83"/>
      <c r="B103" s="90" t="str">
        <f>B99</f>
        <v>FuelEU - Additional cost to blend 8% biodiesel</v>
      </c>
      <c r="C103" s="95" t="s">
        <v>176</v>
      </c>
      <c r="D103" s="92" t="s">
        <v>175</v>
      </c>
      <c r="E103" s="108">
        <f>IF(B98="Biodiesel",$E$83,$E$88)</f>
        <v>88.019455640035773</v>
      </c>
      <c r="F103" s="103" t="s">
        <v>177</v>
      </c>
      <c r="G103" s="5"/>
      <c r="H103" s="6"/>
      <c r="I103" s="6"/>
      <c r="J103" s="6"/>
      <c r="K103" s="6"/>
      <c r="L103" s="6"/>
      <c r="M103" s="6"/>
      <c r="N103" s="78"/>
      <c r="O103" s="78"/>
      <c r="P103" s="78"/>
      <c r="Q103" s="78"/>
      <c r="R103" s="78"/>
      <c r="S103" s="6"/>
    </row>
    <row r="104" spans="1:21" ht="17.45" customHeight="1">
      <c r="A104" s="83"/>
      <c r="B104" s="104" t="s">
        <v>178</v>
      </c>
      <c r="C104" s="95" t="s">
        <v>179</v>
      </c>
      <c r="D104" s="92" t="s">
        <v>175</v>
      </c>
      <c r="E104" s="108">
        <f>$E$93*IF(B98="Biodiesel",$E$92,$E$91)</f>
        <v>541.95975986122369</v>
      </c>
      <c r="F104" s="103" t="s">
        <v>180</v>
      </c>
      <c r="G104" s="5"/>
      <c r="H104" s="6"/>
      <c r="I104" s="6"/>
      <c r="J104" s="6"/>
      <c r="K104" s="6"/>
      <c r="L104" s="6"/>
      <c r="M104" s="6"/>
      <c r="N104" s="6"/>
      <c r="O104" s="6"/>
      <c r="P104" s="6"/>
      <c r="Q104" s="6"/>
      <c r="R104" s="6"/>
      <c r="S104" s="6"/>
    </row>
    <row r="105" spans="1:21">
      <c r="A105" s="83"/>
      <c r="B105" s="110" t="s">
        <v>181</v>
      </c>
      <c r="C105" s="111" t="s">
        <v>182</v>
      </c>
      <c r="D105" s="112" t="s">
        <v>175</v>
      </c>
      <c r="E105" s="113">
        <f>E102+E103+E104</f>
        <v>1174.9597980255312</v>
      </c>
      <c r="F105" s="83"/>
      <c r="G105" s="5"/>
      <c r="H105" s="6"/>
      <c r="I105" s="6"/>
      <c r="J105" s="6"/>
      <c r="K105" s="6"/>
      <c r="L105" s="6"/>
      <c r="M105" s="6"/>
      <c r="N105" s="78"/>
      <c r="O105" s="78"/>
      <c r="P105" s="78"/>
      <c r="Q105" s="78"/>
      <c r="R105" s="78"/>
      <c r="S105" s="6"/>
    </row>
    <row r="106" spans="1:21">
      <c r="A106" s="83"/>
      <c r="B106" s="83"/>
      <c r="C106" s="83"/>
      <c r="D106" s="83"/>
      <c r="E106" s="83"/>
      <c r="F106" s="83"/>
      <c r="G106" s="5"/>
      <c r="H106" s="6"/>
      <c r="I106" s="6"/>
      <c r="J106" s="6"/>
      <c r="K106" s="6"/>
      <c r="L106" s="6"/>
      <c r="M106" s="6"/>
      <c r="N106" s="78"/>
      <c r="O106" s="78"/>
      <c r="P106" s="78"/>
      <c r="Q106" s="78"/>
      <c r="R106" s="78"/>
      <c r="S106" s="6"/>
    </row>
    <row r="107" spans="1:21">
      <c r="A107" s="83"/>
      <c r="B107" s="83"/>
      <c r="C107" s="83"/>
      <c r="D107" s="83"/>
      <c r="E107" s="83"/>
      <c r="F107" s="83"/>
      <c r="G107" s="5"/>
      <c r="H107" s="6"/>
      <c r="I107" s="6"/>
      <c r="J107" s="6"/>
      <c r="K107" s="6"/>
      <c r="L107" s="6"/>
      <c r="M107" s="6"/>
      <c r="N107" s="6"/>
      <c r="O107" s="6"/>
      <c r="P107" s="6"/>
      <c r="Q107" s="6"/>
      <c r="R107" s="6"/>
      <c r="S107" s="6"/>
    </row>
    <row r="108" spans="1:21" ht="21">
      <c r="A108" s="83"/>
      <c r="B108" s="84" t="s">
        <v>183</v>
      </c>
      <c r="C108" s="83"/>
      <c r="D108" s="83"/>
      <c r="E108" s="83"/>
      <c r="F108" s="83"/>
      <c r="G108" s="5"/>
      <c r="H108" s="6"/>
      <c r="I108" s="6"/>
      <c r="J108" s="6"/>
      <c r="K108" s="6"/>
      <c r="L108" s="6"/>
      <c r="M108" s="6"/>
      <c r="N108" s="78"/>
      <c r="O108" s="78"/>
      <c r="P108" s="78"/>
      <c r="Q108" s="78"/>
      <c r="R108" s="78"/>
      <c r="S108" s="6"/>
    </row>
    <row r="109" spans="1:21">
      <c r="A109" s="83"/>
      <c r="B109" s="86" t="s">
        <v>184</v>
      </c>
      <c r="C109" s="99"/>
      <c r="D109" s="100"/>
      <c r="E109" s="89"/>
      <c r="F109" s="83"/>
      <c r="G109" s="5"/>
      <c r="H109" s="6"/>
      <c r="I109" s="6"/>
      <c r="J109" s="6"/>
      <c r="K109" s="6"/>
      <c r="L109" s="6"/>
      <c r="M109" s="6"/>
      <c r="N109" s="78"/>
      <c r="O109" s="78"/>
      <c r="P109" s="78"/>
      <c r="Q109" s="78"/>
      <c r="R109" s="78"/>
      <c r="S109" s="6"/>
    </row>
    <row r="110" spans="1:21" ht="15.6" customHeight="1">
      <c r="A110" s="83"/>
      <c r="B110" s="90" t="s">
        <v>185</v>
      </c>
      <c r="C110" s="95" t="s">
        <v>186</v>
      </c>
      <c r="D110" s="92" t="s">
        <v>21</v>
      </c>
      <c r="E110" s="93">
        <f>E72-E62</f>
        <v>35.926405369771068</v>
      </c>
      <c r="F110" s="94" t="s">
        <v>122</v>
      </c>
      <c r="G110" s="5"/>
      <c r="H110" s="6"/>
      <c r="I110" s="6"/>
      <c r="J110" s="6"/>
      <c r="K110" s="6"/>
      <c r="L110" s="6"/>
      <c r="M110" s="6"/>
      <c r="N110" s="78"/>
      <c r="O110" s="78"/>
      <c r="P110" s="78"/>
      <c r="Q110" s="78"/>
      <c r="R110" s="78"/>
      <c r="S110" s="6"/>
    </row>
    <row r="111" spans="1:21" ht="15.6" customHeight="1">
      <c r="A111" s="83"/>
      <c r="B111" s="90" t="s">
        <v>187</v>
      </c>
      <c r="C111" s="95" t="s">
        <v>188</v>
      </c>
      <c r="D111" s="92" t="s">
        <v>125</v>
      </c>
      <c r="E111" s="96">
        <f>E61-E71</f>
        <v>8.2344200000000006E-2</v>
      </c>
      <c r="F111" s="83"/>
      <c r="G111" s="5"/>
      <c r="H111" s="6"/>
      <c r="I111" s="6"/>
      <c r="J111" s="6"/>
      <c r="K111" s="6"/>
      <c r="L111" s="6"/>
      <c r="M111" s="6"/>
      <c r="N111" s="78"/>
      <c r="O111" s="78"/>
      <c r="P111" s="78"/>
      <c r="Q111" s="78"/>
      <c r="R111" s="78"/>
      <c r="S111" s="6"/>
    </row>
    <row r="112" spans="1:21" ht="15.6" customHeight="1">
      <c r="A112" s="83"/>
      <c r="B112" s="90" t="s">
        <v>126</v>
      </c>
      <c r="C112" s="95" t="s">
        <v>127</v>
      </c>
      <c r="D112" s="92" t="s">
        <v>125</v>
      </c>
      <c r="E112" s="96">
        <f>($E$60-$E$57)/1000</f>
        <v>6.0538000000000093E-3</v>
      </c>
      <c r="F112" s="94" t="s">
        <v>128</v>
      </c>
      <c r="G112" s="5"/>
      <c r="H112" s="6"/>
      <c r="I112" s="6"/>
      <c r="J112" s="6"/>
      <c r="K112" s="6"/>
      <c r="L112" s="6"/>
      <c r="M112" s="6"/>
      <c r="N112" s="78"/>
      <c r="O112" s="78"/>
      <c r="P112" s="78"/>
      <c r="Q112" s="78"/>
      <c r="R112" s="78"/>
      <c r="S112" s="6"/>
    </row>
    <row r="113" spans="1:19" ht="15.6" customHeight="1">
      <c r="A113" s="83"/>
      <c r="B113" s="90" t="s">
        <v>189</v>
      </c>
      <c r="C113" s="95" t="s">
        <v>190</v>
      </c>
      <c r="D113" s="92" t="s">
        <v>131</v>
      </c>
      <c r="E113" s="114">
        <f>E112/E111</f>
        <v>7.3518232006625953E-2</v>
      </c>
      <c r="F113" s="94" t="s">
        <v>191</v>
      </c>
      <c r="G113" s="5"/>
      <c r="H113" s="6"/>
      <c r="I113" s="6"/>
      <c r="J113" s="6"/>
      <c r="K113" s="6"/>
      <c r="L113" s="6"/>
      <c r="M113" s="6"/>
      <c r="N113" s="78"/>
      <c r="O113" s="78"/>
      <c r="P113" s="78"/>
      <c r="Q113" s="78"/>
      <c r="R113" s="78"/>
      <c r="S113" s="6"/>
    </row>
    <row r="114" spans="1:19" ht="15.6" customHeight="1">
      <c r="A114" s="83"/>
      <c r="B114" s="90" t="s">
        <v>192</v>
      </c>
      <c r="C114" s="95" t="s">
        <v>134</v>
      </c>
      <c r="D114" s="92" t="s">
        <v>135</v>
      </c>
      <c r="E114" s="93">
        <f>E110/E111</f>
        <v>436.2955177143146</v>
      </c>
      <c r="F114" s="94" t="s">
        <v>136</v>
      </c>
      <c r="G114" s="5"/>
      <c r="H114" s="6"/>
      <c r="I114" s="6"/>
      <c r="J114" s="6"/>
      <c r="K114" s="6"/>
      <c r="L114" s="6"/>
      <c r="M114" s="6"/>
      <c r="N114" s="78"/>
      <c r="O114" s="78"/>
      <c r="P114" s="78"/>
      <c r="Q114" s="78"/>
      <c r="R114" s="78"/>
      <c r="S114" s="6"/>
    </row>
    <row r="115" spans="1:19" ht="27">
      <c r="A115" s="83"/>
      <c r="B115" s="104" t="s">
        <v>193</v>
      </c>
      <c r="C115" s="105" t="s">
        <v>194</v>
      </c>
      <c r="D115" s="95" t="s">
        <v>143</v>
      </c>
      <c r="E115" s="93">
        <f>E114*E87</f>
        <v>106.97045510812634</v>
      </c>
      <c r="F115" s="94" t="s">
        <v>195</v>
      </c>
      <c r="G115" s="5"/>
      <c r="H115" s="6"/>
      <c r="I115" s="6"/>
      <c r="J115" s="6"/>
      <c r="K115" s="6"/>
      <c r="L115" s="6"/>
      <c r="M115" s="6"/>
      <c r="N115" s="78"/>
      <c r="O115" s="78"/>
      <c r="P115" s="78"/>
      <c r="Q115" s="78"/>
      <c r="R115" s="78"/>
      <c r="S115" s="6"/>
    </row>
    <row r="116" spans="1:19">
      <c r="A116" s="83"/>
      <c r="B116" s="83"/>
      <c r="C116" s="83"/>
      <c r="D116" s="83"/>
      <c r="E116" s="83"/>
      <c r="F116" s="83"/>
      <c r="G116" s="5"/>
      <c r="H116" s="6"/>
      <c r="I116" s="6"/>
      <c r="J116" s="6"/>
      <c r="K116" s="6"/>
      <c r="L116" s="6"/>
      <c r="M116" s="6"/>
      <c r="N116" s="78"/>
      <c r="O116" s="78"/>
      <c r="P116" s="78"/>
      <c r="Q116" s="78"/>
      <c r="R116" s="78"/>
      <c r="S116" s="6"/>
    </row>
    <row r="117" spans="1:19">
      <c r="A117" s="83"/>
      <c r="B117" s="86" t="s">
        <v>196</v>
      </c>
      <c r="C117" s="99"/>
      <c r="D117" s="100"/>
      <c r="E117" s="89"/>
      <c r="F117" s="83"/>
      <c r="G117" s="5"/>
      <c r="H117" s="6"/>
      <c r="I117" s="6"/>
      <c r="J117" s="6"/>
      <c r="K117" s="6"/>
      <c r="L117" s="6"/>
      <c r="M117" s="6"/>
      <c r="N117" s="78"/>
      <c r="O117" s="78"/>
      <c r="P117" s="78"/>
      <c r="Q117" s="78"/>
      <c r="R117" s="78"/>
      <c r="S117" s="6"/>
    </row>
    <row r="118" spans="1:19">
      <c r="A118" s="83"/>
      <c r="B118" s="90" t="s">
        <v>174</v>
      </c>
      <c r="C118" s="95" t="str">
        <f>IF($C$26="Yes",$D$26,"")</f>
        <v>MMM Fuel Cost Calculator, 2024</v>
      </c>
      <c r="D118" s="92" t="s">
        <v>175</v>
      </c>
      <c r="E118" s="108">
        <f>IF($C$26="Yes",INDEX($I$6:$P$33,MATCH($C$12,$I$6:$I$33,0),MATCH("LSFO cost per tonne",$I$6:$P$6,0)),$C$27)</f>
        <v>544.98058252427188</v>
      </c>
      <c r="F118" s="103"/>
      <c r="G118" s="5"/>
      <c r="H118" s="6"/>
      <c r="I118" s="6"/>
      <c r="J118" s="6"/>
      <c r="K118" s="6"/>
      <c r="L118" s="6"/>
      <c r="M118" s="6"/>
      <c r="N118" s="78"/>
      <c r="O118" s="78"/>
      <c r="P118" s="78"/>
      <c r="Q118" s="78"/>
      <c r="R118" s="78"/>
      <c r="S118" s="6"/>
    </row>
    <row r="119" spans="1:19">
      <c r="A119" s="83"/>
      <c r="B119" s="90" t="str">
        <f>"FuelEU - Additional cost to blend "&amp;ROUND(E113*100,0)&amp;"% SMF"</f>
        <v>FuelEU - Additional cost to blend 7% SMF</v>
      </c>
      <c r="C119" s="95" t="s">
        <v>176</v>
      </c>
      <c r="D119" s="92" t="s">
        <v>175</v>
      </c>
      <c r="E119" s="108">
        <f>E115</f>
        <v>106.97045510812634</v>
      </c>
      <c r="F119" s="103" t="s">
        <v>177</v>
      </c>
      <c r="G119" s="5"/>
      <c r="H119" s="6"/>
      <c r="I119" s="6"/>
      <c r="J119" s="6"/>
      <c r="K119" s="6"/>
      <c r="L119" s="6"/>
      <c r="M119" s="6"/>
      <c r="N119" s="78"/>
      <c r="O119" s="78"/>
      <c r="P119" s="78"/>
      <c r="Q119" s="78"/>
      <c r="R119" s="78"/>
      <c r="S119" s="6"/>
    </row>
    <row r="120" spans="1:19" ht="33.75">
      <c r="A120" s="83"/>
      <c r="B120" s="104" t="s">
        <v>178</v>
      </c>
      <c r="C120" s="95" t="s">
        <v>179</v>
      </c>
      <c r="D120" s="92" t="s">
        <v>175</v>
      </c>
      <c r="E120" s="108">
        <f>$E$93*$E$92</f>
        <v>541.95975986122369</v>
      </c>
      <c r="F120" s="103" t="s">
        <v>197</v>
      </c>
      <c r="G120" s="5"/>
      <c r="H120" s="6"/>
      <c r="I120" s="6"/>
      <c r="J120" s="6"/>
      <c r="K120" s="6"/>
      <c r="L120" s="6"/>
      <c r="M120" s="6"/>
      <c r="N120" s="78"/>
      <c r="O120" s="78"/>
      <c r="P120" s="78"/>
      <c r="Q120" s="78"/>
      <c r="R120" s="78"/>
      <c r="S120" s="6"/>
    </row>
    <row r="121" spans="1:19">
      <c r="A121" s="83"/>
      <c r="B121" s="110" t="s">
        <v>181</v>
      </c>
      <c r="C121" s="111" t="s">
        <v>182</v>
      </c>
      <c r="D121" s="112" t="s">
        <v>175</v>
      </c>
      <c r="E121" s="113">
        <f>E118+E119+E120</f>
        <v>1193.9107974936219</v>
      </c>
      <c r="F121" s="83"/>
      <c r="G121" s="5"/>
      <c r="H121" s="6"/>
      <c r="I121" s="6"/>
      <c r="J121" s="6"/>
      <c r="K121" s="6"/>
      <c r="L121" s="6"/>
      <c r="M121" s="6"/>
      <c r="N121" s="78"/>
      <c r="O121" s="78"/>
      <c r="P121" s="78"/>
      <c r="Q121" s="78"/>
      <c r="R121" s="78"/>
      <c r="S121" s="6"/>
    </row>
    <row r="122" spans="1:19">
      <c r="A122" s="83"/>
      <c r="B122" s="83"/>
      <c r="C122" s="83"/>
      <c r="D122" s="83"/>
      <c r="E122" s="83"/>
      <c r="F122" s="83"/>
      <c r="G122" s="5"/>
      <c r="H122" s="6"/>
      <c r="I122" s="6"/>
      <c r="J122" s="6"/>
      <c r="K122" s="6"/>
      <c r="L122" s="6"/>
      <c r="M122" s="6"/>
      <c r="N122" s="78"/>
      <c r="O122" s="78"/>
      <c r="P122" s="78"/>
      <c r="Q122" s="78"/>
      <c r="R122" s="78"/>
      <c r="S122" s="6"/>
    </row>
    <row r="123" spans="1:19">
      <c r="A123" s="83"/>
      <c r="B123" s="83"/>
      <c r="C123" s="83"/>
      <c r="D123" s="83"/>
      <c r="E123" s="83"/>
      <c r="F123" s="83"/>
      <c r="G123" s="5"/>
      <c r="H123" s="6"/>
      <c r="I123" s="6"/>
      <c r="J123" s="6"/>
      <c r="K123" s="6"/>
      <c r="L123" s="6"/>
      <c r="M123" s="6"/>
      <c r="N123" s="78"/>
      <c r="O123" s="78"/>
      <c r="P123" s="78"/>
      <c r="Q123" s="78"/>
      <c r="R123" s="78"/>
      <c r="S123" s="6"/>
    </row>
    <row r="124" spans="1:19" ht="21">
      <c r="A124" s="83"/>
      <c r="B124" s="84" t="s">
        <v>198</v>
      </c>
      <c r="C124" s="83"/>
      <c r="D124" s="83"/>
      <c r="E124" s="83"/>
      <c r="F124" s="83"/>
      <c r="G124" s="5"/>
      <c r="H124" s="6"/>
      <c r="I124" s="6"/>
      <c r="J124" s="6"/>
      <c r="K124" s="6"/>
      <c r="L124" s="6"/>
      <c r="M124" s="6"/>
      <c r="N124" s="78"/>
      <c r="O124" s="78"/>
      <c r="P124" s="78"/>
      <c r="Q124" s="78"/>
      <c r="R124" s="78"/>
      <c r="S124" s="6"/>
    </row>
    <row r="125" spans="1:19">
      <c r="A125" s="83"/>
      <c r="B125" s="86" t="s">
        <v>199</v>
      </c>
      <c r="C125" s="83"/>
      <c r="D125" s="83"/>
      <c r="E125" s="83"/>
      <c r="F125" s="83"/>
      <c r="G125" s="5"/>
      <c r="H125" s="6"/>
      <c r="I125" s="6"/>
      <c r="J125" s="6"/>
      <c r="K125" s="6"/>
      <c r="L125" s="6"/>
      <c r="M125" s="6"/>
      <c r="N125" s="6"/>
      <c r="O125" s="6"/>
      <c r="P125" s="6"/>
      <c r="Q125" s="6"/>
      <c r="R125" s="6"/>
      <c r="S125" s="6"/>
    </row>
    <row r="126" spans="1:19">
      <c r="A126" s="83"/>
      <c r="B126" s="104" t="str">
        <f>$C$12&amp;" ETS Cost per TtW abatement"</f>
        <v>2033 ETS Cost per TtW abatement</v>
      </c>
      <c r="C126" s="95" t="str">
        <f>IF($C$34="Yes",$D$34,"")</f>
        <v>Pietzcker et al., 2021</v>
      </c>
      <c r="D126" s="92" t="s">
        <v>160</v>
      </c>
      <c r="E126" s="108">
        <f>IF($C$34="Yes",INDEX($I$6:$P$33,MATCH($C$12,$I$6:$I$33,0),MATCH("ETS price projection with phase-in",$I$6:$P$6,0)),$C$35*_xlfn.XLOOKUP($C$12,$I$6:$I$33,$N$6:$N$33))</f>
        <v>187.06707200000002</v>
      </c>
      <c r="F126" s="94" t="s">
        <v>200</v>
      </c>
      <c r="G126" s="5"/>
      <c r="H126" s="6"/>
      <c r="I126" s="6"/>
      <c r="J126" s="6"/>
      <c r="K126" s="6"/>
      <c r="L126" s="6"/>
      <c r="M126" s="6"/>
      <c r="N126" s="78"/>
      <c r="O126" s="78"/>
      <c r="P126" s="78"/>
      <c r="Q126" s="78"/>
      <c r="R126" s="78"/>
      <c r="S126" s="6"/>
    </row>
    <row r="127" spans="1:19" ht="30.6" customHeight="1">
      <c r="A127" s="83"/>
      <c r="B127" s="104" t="s">
        <v>201</v>
      </c>
      <c r="C127" s="95" t="s">
        <v>202</v>
      </c>
      <c r="D127" s="92" t="s">
        <v>203</v>
      </c>
      <c r="E127" s="108">
        <f>E126*(K42/K40)</f>
        <v>159.54047661849361</v>
      </c>
      <c r="F127" s="103" t="s">
        <v>204</v>
      </c>
      <c r="G127" s="5"/>
      <c r="H127" s="6"/>
      <c r="I127" s="6"/>
      <c r="J127" s="6"/>
      <c r="K127" s="6"/>
      <c r="L127" s="6"/>
      <c r="M127" s="6"/>
      <c r="N127" s="78"/>
      <c r="O127" s="78"/>
      <c r="P127" s="78"/>
      <c r="Q127" s="78"/>
      <c r="R127" s="78"/>
      <c r="S127" s="6"/>
    </row>
    <row r="128" spans="1:19" ht="30.6" customHeight="1">
      <c r="A128" s="83"/>
      <c r="B128" s="115" t="s">
        <v>205</v>
      </c>
      <c r="C128" s="95" t="s">
        <v>206</v>
      </c>
      <c r="D128" s="116" t="s">
        <v>207</v>
      </c>
      <c r="E128" s="108">
        <f>IF($B$98="Biodiesel",$E$81-$E$127,$E$86)</f>
        <v>201.97013747472064</v>
      </c>
      <c r="F128" s="103" t="s">
        <v>208</v>
      </c>
      <c r="G128" s="5"/>
      <c r="H128" s="6"/>
      <c r="I128" s="6"/>
      <c r="J128" s="6"/>
      <c r="K128" s="6"/>
      <c r="L128" s="6"/>
      <c r="M128" s="6"/>
      <c r="N128" s="6"/>
      <c r="O128" s="6"/>
      <c r="P128" s="6"/>
      <c r="Q128" s="6"/>
      <c r="R128" s="6"/>
      <c r="S128" s="6"/>
    </row>
    <row r="129" spans="1:19" ht="30.6" customHeight="1">
      <c r="A129" s="83"/>
      <c r="B129" s="90" t="s">
        <v>209</v>
      </c>
      <c r="C129" s="95" t="s">
        <v>210</v>
      </c>
      <c r="D129" s="116" t="s">
        <v>211</v>
      </c>
      <c r="E129" s="108">
        <f>E128*(1+C20)</f>
        <v>201.97013747472064</v>
      </c>
      <c r="F129" s="103" t="s">
        <v>212</v>
      </c>
      <c r="G129" s="5"/>
      <c r="H129" s="6"/>
      <c r="I129" s="6"/>
      <c r="J129" s="6"/>
      <c r="K129" s="6"/>
      <c r="L129" s="6"/>
      <c r="M129" s="6"/>
      <c r="N129" s="78"/>
      <c r="O129" s="78"/>
      <c r="P129" s="78"/>
      <c r="Q129" s="78"/>
      <c r="R129" s="78"/>
      <c r="S129" s="6"/>
    </row>
    <row r="130" spans="1:19">
      <c r="A130" s="83"/>
      <c r="B130" s="83"/>
      <c r="C130" s="83"/>
      <c r="D130" s="83"/>
      <c r="E130" s="83"/>
      <c r="F130" s="83"/>
      <c r="G130" s="5"/>
      <c r="H130" s="6"/>
      <c r="I130" s="6"/>
      <c r="J130" s="6"/>
      <c r="K130" s="6"/>
      <c r="L130" s="6"/>
      <c r="M130" s="6"/>
      <c r="N130" s="6"/>
      <c r="O130" s="6"/>
      <c r="P130" s="6"/>
      <c r="Q130" s="6"/>
      <c r="R130" s="6"/>
      <c r="S130" s="6"/>
    </row>
    <row r="131" spans="1:19">
      <c r="A131" s="83"/>
      <c r="B131" s="86" t="s">
        <v>213</v>
      </c>
      <c r="C131" s="99"/>
      <c r="D131" s="100"/>
      <c r="E131" s="89"/>
      <c r="F131" s="83"/>
      <c r="G131" s="5"/>
      <c r="H131" s="6"/>
      <c r="I131" s="6"/>
      <c r="J131" s="6"/>
      <c r="K131" s="6"/>
      <c r="L131" s="6"/>
      <c r="M131" s="6"/>
      <c r="N131" s="78"/>
      <c r="O131" s="78"/>
      <c r="P131" s="78"/>
      <c r="Q131" s="78"/>
      <c r="R131" s="78"/>
      <c r="S131" s="6"/>
    </row>
    <row r="132" spans="1:19">
      <c r="A132" s="83"/>
      <c r="B132" s="90" t="s">
        <v>214</v>
      </c>
      <c r="C132" s="95"/>
      <c r="D132" s="92" t="s">
        <v>215</v>
      </c>
      <c r="E132" s="108">
        <f>$C$17</f>
        <v>2000</v>
      </c>
      <c r="F132" s="83"/>
      <c r="G132" s="5"/>
      <c r="H132" s="6"/>
      <c r="I132" s="6"/>
      <c r="J132" s="6"/>
      <c r="K132" s="6"/>
      <c r="L132" s="6"/>
      <c r="M132" s="6"/>
      <c r="N132" s="6"/>
      <c r="O132" s="6"/>
      <c r="P132" s="6"/>
      <c r="Q132" s="6"/>
      <c r="R132" s="6"/>
      <c r="S132" s="6"/>
    </row>
    <row r="133" spans="1:19" ht="26.45" customHeight="1">
      <c r="A133" s="83"/>
      <c r="B133" s="90" t="s">
        <v>216</v>
      </c>
      <c r="C133" s="95" t="s">
        <v>217</v>
      </c>
      <c r="D133" s="92" t="s">
        <v>218</v>
      </c>
      <c r="E133" s="101">
        <f>$L$46*(1-$C$15)</f>
        <v>9.3999999999999986</v>
      </c>
      <c r="F133" s="103" t="s">
        <v>219</v>
      </c>
      <c r="G133" s="5"/>
      <c r="H133" s="6"/>
      <c r="I133" s="6"/>
      <c r="J133" s="6"/>
      <c r="K133" s="6"/>
      <c r="L133" s="6"/>
      <c r="M133" s="6"/>
      <c r="N133" s="78"/>
      <c r="O133" s="78"/>
      <c r="P133" s="78"/>
      <c r="Q133" s="78"/>
      <c r="R133" s="78"/>
      <c r="S133" s="6"/>
    </row>
    <row r="134" spans="1:19">
      <c r="A134" s="83"/>
      <c r="B134" s="90" t="s">
        <v>220</v>
      </c>
      <c r="C134" s="95" t="s">
        <v>221</v>
      </c>
      <c r="D134" s="92" t="s">
        <v>218</v>
      </c>
      <c r="E134" s="101">
        <f>$E$133/IF(AND($C$16="Yes",$C$15&gt;=0.7,$C$12&lt;2033),2,1)</f>
        <v>9.3999999999999986</v>
      </c>
      <c r="F134" s="94" t="s">
        <v>222</v>
      </c>
      <c r="G134" s="5"/>
      <c r="H134" s="6"/>
      <c r="I134" s="6"/>
      <c r="J134" s="6"/>
      <c r="K134" s="6"/>
      <c r="L134" s="6"/>
      <c r="M134" s="6"/>
      <c r="N134" s="6"/>
      <c r="O134" s="6"/>
      <c r="P134" s="6"/>
      <c r="Q134" s="6"/>
      <c r="R134" s="6"/>
      <c r="S134" s="6"/>
    </row>
    <row r="135" spans="1:19" ht="23.45" customHeight="1">
      <c r="A135" s="83"/>
      <c r="B135" s="90" t="s">
        <v>223</v>
      </c>
      <c r="C135" s="95" t="s">
        <v>224</v>
      </c>
      <c r="D135" s="92" t="s">
        <v>218</v>
      </c>
      <c r="E135" s="108">
        <f>INDEX($I$6:$Q$33,MATCH($C$12,$I$6:$I$33,0),MATCH("FuelEU Target Intensity",$I$6:$Q$6,0))-E134</f>
        <v>76.290400000000005</v>
      </c>
      <c r="F135" s="103" t="s">
        <v>225</v>
      </c>
      <c r="G135" s="5"/>
      <c r="H135" s="6"/>
      <c r="I135" s="6"/>
      <c r="J135" s="6"/>
      <c r="K135" s="6"/>
      <c r="L135" s="6"/>
      <c r="M135" s="6"/>
      <c r="N135" s="78"/>
      <c r="O135" s="78"/>
      <c r="P135" s="78"/>
      <c r="Q135" s="78"/>
      <c r="R135" s="78"/>
      <c r="S135" s="6"/>
    </row>
    <row r="136" spans="1:19" ht="22.5">
      <c r="A136" s="83"/>
      <c r="B136" s="90" t="s">
        <v>226</v>
      </c>
      <c r="C136" s="95" t="s">
        <v>227</v>
      </c>
      <c r="D136" s="92" t="s">
        <v>228</v>
      </c>
      <c r="E136" s="93">
        <f>$E$135*$K$41</f>
        <v>3.0897612000000003</v>
      </c>
      <c r="F136" s="103" t="s">
        <v>229</v>
      </c>
      <c r="G136" s="5"/>
      <c r="H136" s="6"/>
      <c r="I136" s="6"/>
      <c r="J136" s="6"/>
      <c r="K136" s="6"/>
      <c r="L136" s="6"/>
      <c r="M136" s="6"/>
      <c r="N136" s="6"/>
      <c r="O136" s="6"/>
      <c r="P136" s="6"/>
      <c r="Q136" s="6"/>
      <c r="R136" s="6"/>
      <c r="S136" s="6"/>
    </row>
    <row r="137" spans="1:19" ht="22.5">
      <c r="A137" s="83"/>
      <c r="B137" s="90" t="s">
        <v>230</v>
      </c>
      <c r="C137" s="95" t="s">
        <v>231</v>
      </c>
      <c r="D137" s="92" t="s">
        <v>232</v>
      </c>
      <c r="E137" s="108">
        <f>ROUNDDOWN(E136/E87,0)</f>
        <v>12</v>
      </c>
      <c r="F137" s="103" t="s">
        <v>233</v>
      </c>
      <c r="G137" s="5"/>
      <c r="H137" s="6"/>
      <c r="I137" s="6"/>
      <c r="J137" s="6"/>
      <c r="K137" s="6"/>
      <c r="L137" s="6"/>
      <c r="M137" s="6"/>
      <c r="N137" s="6"/>
      <c r="O137" s="6"/>
      <c r="P137" s="6"/>
      <c r="Q137" s="6"/>
      <c r="R137" s="6"/>
      <c r="S137" s="6"/>
    </row>
    <row r="138" spans="1:19">
      <c r="A138" s="83"/>
      <c r="B138" s="90" t="s">
        <v>234</v>
      </c>
      <c r="C138" s="95" t="s">
        <v>235</v>
      </c>
      <c r="D138" s="92" t="s">
        <v>215</v>
      </c>
      <c r="E138" s="108">
        <f>E136*E129</f>
        <v>624.03949432805791</v>
      </c>
      <c r="F138" s="94" t="s">
        <v>236</v>
      </c>
      <c r="G138" s="5"/>
      <c r="H138" s="6"/>
      <c r="I138" s="6"/>
      <c r="J138" s="6"/>
      <c r="K138" s="6"/>
      <c r="L138" s="6"/>
      <c r="M138" s="6"/>
      <c r="N138" s="78"/>
      <c r="O138" s="78"/>
      <c r="P138" s="78"/>
      <c r="Q138" s="78"/>
      <c r="R138" s="78"/>
      <c r="S138" s="6"/>
    </row>
    <row r="139" spans="1:19" ht="21.95" customHeight="1">
      <c r="A139" s="83"/>
      <c r="B139" s="110" t="s">
        <v>237</v>
      </c>
      <c r="C139" s="111" t="s">
        <v>238</v>
      </c>
      <c r="D139" s="112" t="s">
        <v>215</v>
      </c>
      <c r="E139" s="113">
        <f>E132-E138</f>
        <v>1375.960505671942</v>
      </c>
      <c r="F139" s="103" t="s">
        <v>239</v>
      </c>
      <c r="G139" s="5"/>
      <c r="H139" s="6"/>
      <c r="I139" s="6"/>
      <c r="J139" s="6"/>
      <c r="K139" s="6"/>
      <c r="L139" s="6"/>
      <c r="M139" s="6"/>
      <c r="N139" s="6"/>
      <c r="O139" s="6"/>
      <c r="P139" s="6"/>
      <c r="Q139" s="6"/>
      <c r="R139" s="6"/>
      <c r="S139" s="6"/>
    </row>
    <row r="140" spans="1:19">
      <c r="A140" s="83"/>
      <c r="B140" s="83"/>
      <c r="C140" s="83"/>
      <c r="D140" s="83"/>
      <c r="E140" s="83"/>
      <c r="F140" s="83"/>
      <c r="G140" s="5"/>
      <c r="H140" s="6"/>
      <c r="I140" s="6"/>
      <c r="J140" s="6"/>
      <c r="K140" s="6"/>
      <c r="L140" s="6"/>
      <c r="M140" s="6"/>
      <c r="N140" s="78"/>
      <c r="O140" s="78"/>
      <c r="P140" s="78"/>
      <c r="Q140" s="78"/>
      <c r="R140" s="78"/>
      <c r="S140" s="6"/>
    </row>
    <row r="141" spans="1:19" ht="9.9499999999999993" customHeight="1"/>
    <row r="142" spans="1:19" ht="35.450000000000003" customHeight="1">
      <c r="B142" s="137" t="e" vm="1">
        <v>#VALUE!</v>
      </c>
      <c r="C142" s="137"/>
      <c r="E142" s="118"/>
    </row>
    <row r="144" spans="1:19">
      <c r="C144"/>
      <c r="F144" s="119"/>
    </row>
    <row r="145" spans="2:6">
      <c r="B145" s="120"/>
    </row>
    <row r="146" spans="2:6">
      <c r="B146" s="120"/>
      <c r="C146"/>
      <c r="F146" s="119"/>
    </row>
    <row r="148" spans="2:6">
      <c r="B148" s="120"/>
      <c r="C148"/>
      <c r="F148" s="119"/>
    </row>
  </sheetData>
  <mergeCells count="18">
    <mergeCell ref="B142:C142"/>
    <mergeCell ref="D20:F21"/>
    <mergeCell ref="D27:F28"/>
    <mergeCell ref="D35:F36"/>
    <mergeCell ref="P42:R42"/>
    <mergeCell ref="B51:B54"/>
    <mergeCell ref="C51:D54"/>
    <mergeCell ref="E51:F54"/>
    <mergeCell ref="G2:G52"/>
    <mergeCell ref="B4:F4"/>
    <mergeCell ref="B5:E5"/>
    <mergeCell ref="J5:M5"/>
    <mergeCell ref="N5:P5"/>
    <mergeCell ref="B6:E6"/>
    <mergeCell ref="B7:E7"/>
    <mergeCell ref="B8:E8"/>
    <mergeCell ref="B20:B21"/>
    <mergeCell ref="C20:C21"/>
  </mergeCells>
  <conditionalFormatting sqref="C27">
    <cfRule type="expression" dxfId="2" priority="3">
      <formula>$C$26="Yes"</formula>
    </cfRule>
  </conditionalFormatting>
  <conditionalFormatting sqref="C31">
    <cfRule type="expression" dxfId="1" priority="2">
      <formula>$C$30="Yes"</formula>
    </cfRule>
  </conditionalFormatting>
  <conditionalFormatting sqref="C35">
    <cfRule type="expression" dxfId="0" priority="1">
      <formula>$C$34="Yes"</formula>
    </cfRule>
  </conditionalFormatting>
  <dataValidations count="8">
    <dataValidation type="whole" operator="greaterThan" allowBlank="1" showInputMessage="1" showErrorMessage="1" promptTitle="Enter LSFO cost estimate" prompt="USD/tonne" sqref="C27" xr:uid="{AFFEAC0B-9FD7-471C-8ACA-D7D4131609ED}">
      <formula1>0</formula1>
    </dataValidation>
    <dataValidation type="whole" operator="greaterThan" allowBlank="1" showInputMessage="1" showErrorMessage="1" promptTitle="Biodiesel cost estimate" prompt="USD/tonne" sqref="C31" xr:uid="{6F478117-07FF-4BDD-A800-0B6B40B748D7}">
      <formula1>0</formula1>
    </dataValidation>
    <dataValidation type="list" allowBlank="1" showInputMessage="1" showErrorMessage="1" sqref="C26 C34 C30" xr:uid="{A3B86934-AEFC-44C3-91FD-147FE6B5930C}">
      <formula1>$T$7:$T$8</formula1>
    </dataValidation>
    <dataValidation type="list" allowBlank="1" showInputMessage="1" showErrorMessage="1" sqref="C12" xr:uid="{3778DFBD-9CBB-435B-975E-A501C68B5C11}">
      <formula1>$I$8:$I$33</formula1>
    </dataValidation>
    <dataValidation type="whole" operator="greaterThan" allowBlank="1" showInputMessage="1" showErrorMessage="1" promptTitle="Enter Alt Fuel Cost" prompt="USD/tonne LSFO-eq" sqref="C17" xr:uid="{4839E9F5-69F4-4486-BA46-3DABDF533B13}">
      <formula1>0</formula1>
    </dataValidation>
    <dataValidation type="whole" allowBlank="1" showInputMessage="1" showErrorMessage="1" errorTitle="EUA price too high" error="EUA price must be between 0 and 2,000 USD" promptTitle="EUA price estimate" prompt="USD/tonne CO2e" sqref="C35" xr:uid="{92BDEEB5-BFF9-44A2-B0EF-90772ED0994A}">
      <formula1>0</formula1>
      <formula2>2000</formula2>
    </dataValidation>
    <dataValidation type="decimal" allowBlank="1" showInputMessage="1" showErrorMessage="1" sqref="C20:C21" xr:uid="{FAF37306-3FB0-4EBD-8A84-04E0EF697182}">
      <formula1>-1</formula1>
      <formula2>1</formula2>
    </dataValidation>
    <dataValidation type="list" allowBlank="1" showInputMessage="1" showErrorMessage="1" sqref="C16" xr:uid="{1D1A7809-9E68-4878-8AEF-A32E51CFCE8E}">
      <formula1>$T$9:$T$10</formula1>
    </dataValidation>
  </dataValidations>
  <hyperlinks>
    <hyperlink ref="N41" r:id="rId1" display="Source: FuelEU Annex II" xr:uid="{12305EAA-3FB1-4B2E-B91D-32AFE895341A}"/>
    <hyperlink ref="O34" r:id="rId2" xr:uid="{E2977A71-0B27-407D-AACC-717D9C510465}"/>
    <hyperlink ref="L34" r:id="rId3" display="Source: LR &amp; UMAS, 2020" xr:uid="{24D73305-6F98-4058-BC0A-E2E499C092F4}"/>
    <hyperlink ref="N40" r:id="rId4" display="Source: FuelEU Annex II" xr:uid="{5D94EB82-58E1-4366-9DBE-5485EF427E74}"/>
    <hyperlink ref="D30" r:id="rId5" xr:uid="{BBD02E01-5F63-490A-8BC6-70CB19FF879E}"/>
    <hyperlink ref="D34" r:id="rId6" xr:uid="{A16B6711-DC7E-4088-B6EB-F8D45ACFBE43}"/>
    <hyperlink ref="C60" r:id="rId7" display="Source: FuelEU Annex II" xr:uid="{F35C23C5-9205-439B-8114-084C0B17BD01}"/>
    <hyperlink ref="C65" r:id="rId8" display="Source: FuelEU Annex II" xr:uid="{64287F8A-8120-470E-A886-5105AB879D20}"/>
    <hyperlink ref="Q34" r:id="rId9" display="Source: FuelEU Annex II" xr:uid="{46413C15-C557-4534-B3C9-CAC904A45B17}"/>
    <hyperlink ref="C57" r:id="rId10" display="Source: FuelEU Annex II" xr:uid="{1B054AFA-EFA0-4279-9805-B009765D9818}"/>
    <hyperlink ref="M48" r:id="rId11" display="FuelEU Annex IV, pg 99" xr:uid="{F38C2382-FFD0-4BB7-B92A-3E602BE97FEB}"/>
    <hyperlink ref="M49" r:id="rId12" xr:uid="{7AD89D04-83B0-430D-A655-EF59CA688C31}"/>
    <hyperlink ref="M47" r:id="rId13" display="Source: FuelEU Annex II" xr:uid="{C666B9E1-1285-4E83-84C2-65CEED34D5BC}"/>
    <hyperlink ref="N42" r:id="rId14" display="Source: Annex II (1.2) Delegated Reguation to MRV for ETS" xr:uid="{97C2364B-3724-4A2E-8308-01E5DDC4AACC}"/>
    <hyperlink ref="C18" r:id="rId15" xr:uid="{116A7067-3DE1-47F0-9F71-DA984932A3CD}"/>
    <hyperlink ref="D26" r:id="rId16" xr:uid="{5ADE2D0A-DD13-4CE7-9F29-81F6C37FA995}"/>
    <hyperlink ref="J34" r:id="rId17" xr:uid="{3DB917CB-0084-4612-819D-1661283B6D33}"/>
  </hyperlinks>
  <pageMargins left="0.7" right="0.7" top="0.75" bottom="0.75" header="0.3" footer="0.3"/>
  <drawing r:id="rId18"/>
  <legacyDrawing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d45350-d6f3-43eb-bc3b-872e487a66ef">
      <Terms xmlns="http://schemas.microsoft.com/office/infopath/2007/PartnerControls"/>
    </lcf76f155ced4ddcb4097134ff3c332f>
    <TaxCatchAll xmlns="bae2e4cf-1cea-45c6-bccc-ce4c78deb20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65BA3798B174FB9075562706586E7" ma:contentTypeVersion="13" ma:contentTypeDescription="Create a new document." ma:contentTypeScope="" ma:versionID="4c1eabf58a78f3f85b7400e7dae1bf2a">
  <xsd:schema xmlns:xsd="http://www.w3.org/2001/XMLSchema" xmlns:xs="http://www.w3.org/2001/XMLSchema" xmlns:p="http://schemas.microsoft.com/office/2006/metadata/properties" xmlns:ns2="83d45350-d6f3-43eb-bc3b-872e487a66ef" xmlns:ns3="bae2e4cf-1cea-45c6-bccc-ce4c78deb207" targetNamespace="http://schemas.microsoft.com/office/2006/metadata/properties" ma:root="true" ma:fieldsID="78ad1a37078c57269107bde984111a94" ns2:_="" ns3:_="">
    <xsd:import namespace="83d45350-d6f3-43eb-bc3b-872e487a66ef"/>
    <xsd:import namespace="bae2e4cf-1cea-45c6-bccc-ce4c78deb20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45350-d6f3-43eb-bc3b-872e487a66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405d3cf-f1b6-4142-bd55-078f49f7cf5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2e4cf-1cea-45c6-bccc-ce4c78deb20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0537411-e8ca-4d56-8126-6ff7b3469af7}" ma:internalName="TaxCatchAll" ma:showField="CatchAllData" ma:web="bae2e4cf-1cea-45c6-bccc-ce4c78deb20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101A45-039C-469B-88C5-FCDA5A0EA293}"/>
</file>

<file path=customXml/itemProps2.xml><?xml version="1.0" encoding="utf-8"?>
<ds:datastoreItem xmlns:ds="http://schemas.openxmlformats.org/officeDocument/2006/customXml" ds:itemID="{E6FFE04C-7BE7-4526-B410-270C41EA86C7}"/>
</file>

<file path=customXml/itemProps3.xml><?xml version="1.0" encoding="utf-8"?>
<ds:datastoreItem xmlns:ds="http://schemas.openxmlformats.org/officeDocument/2006/customXml" ds:itemID="{BE3F054E-FC4D-4449-9C68-25DBA26BDD4B}"/>
</file>

<file path=docMetadata/LabelInfo.xml><?xml version="1.0" encoding="utf-8"?>
<clbl:labelList xmlns:clbl="http://schemas.microsoft.com/office/2020/mipLabelMetadata">
  <clbl:label id="{e4b931d8-a288-4db6-acc7-364bc8042050}" enabled="1" method="Privileged" siteId="{5218c2a1-81cc-40ce-af99-7505143bc263}"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Bettles</dc:creator>
  <cp:keywords/>
  <dc:description/>
  <cp:lastModifiedBy>Risiana Levie</cp:lastModifiedBy>
  <cp:revision/>
  <dcterms:created xsi:type="dcterms:W3CDTF">2024-10-16T12:25:42Z</dcterms:created>
  <dcterms:modified xsi:type="dcterms:W3CDTF">2025-05-08T10:56:12Z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0x01010014165BA3798B174FB9075562706586E7</vt:lpwstr>
  </property>
</Properties>
</file>