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zerocarbonshipping.sharepoint.com/sites/40033/Delte dokumenter/General/1 Working documents/4 FuelEU Newsletter/Drafts/NL 3 - OPS/"/>
    </mc:Choice>
  </mc:AlternateContent>
  <xr:revisionPtr revIDLastSave="287" documentId="8_{21CA2ACC-C20A-4FDD-9B31-36F149E0619A}" xr6:coauthVersionLast="47" xr6:coauthVersionMax="47" xr10:uidLastSave="{CAD5AB49-D55E-4A53-A795-F291473B04C6}"/>
  <bookViews>
    <workbookView minimized="1" xWindow="37572" yWindow="-7176" windowWidth="14400" windowHeight="8172" xr2:uid="{0EC505EB-209D-4EE6-90F6-290254E54502}"/>
  </bookViews>
  <sheets>
    <sheet name="OPS Calculator" sheetId="9" r:id="rId1"/>
  </sheets>
  <externalReferences>
    <externalReference r:id="rId2"/>
    <externalReference r:id="rId3"/>
  </externalReferences>
  <definedNames>
    <definedName name="__Ampler.Charts.0a6d1a90283444afb12196d473f6545a" localSheetId="0" hidden="1">#REF!</definedName>
    <definedName name="__Ampler.Charts.0a6d1a90283444afb12196d473f6545a" hidden="1">#REF!</definedName>
    <definedName name="__Ampler.Charts.34f1c03d97b345f9a4353d08cf28e475" localSheetId="0" hidden="1">[1]RouteAssessment!#REF!</definedName>
    <definedName name="__Ampler.Charts.34f1c03d97b345f9a4353d08cf28e475" hidden="1">[1]RouteAssessment!#REF!</definedName>
    <definedName name="__Ampler.Charts.4949497296a941e7b1dd898b06a43188" localSheetId="0" hidden="1">#REF!</definedName>
    <definedName name="__Ampler.Charts.4949497296a941e7b1dd898b06a43188" hidden="1">#REF!</definedName>
    <definedName name="__Ampler.Charts.4db02dabf638459889fa4705ee1aa0e7" localSheetId="0" hidden="1">#REF!</definedName>
    <definedName name="__Ampler.Charts.4db02dabf638459889fa4705ee1aa0e7" hidden="1">#REF!</definedName>
    <definedName name="__Ampler.Charts.4dbcb68e429b4e53b9337bb3cf75a6b2" hidden="1">#REF!</definedName>
    <definedName name="__Ampler.Charts.4eeae91c0b67498a8a436f0c0c38dece" hidden="1">[1]RouteAssessment!#REF!</definedName>
    <definedName name="__Ampler.Charts.5728b5bb58e949dfa3a26fa526f1025b" hidden="1">[1]RouteAssessment!#REF!</definedName>
    <definedName name="__Ampler.Charts.68bc14e0267446caab76e6e7a191a791" localSheetId="0" hidden="1">#REF!</definedName>
    <definedName name="__Ampler.Charts.68bc14e0267446caab76e6e7a191a791" hidden="1">#REF!</definedName>
    <definedName name="__Ampler.Charts.75a81f14f29d46e0b4e39cf665ff6370" localSheetId="0" hidden="1">[1]RouteAssessment!#REF!</definedName>
    <definedName name="__Ampler.Charts.75a81f14f29d46e0b4e39cf665ff6370" hidden="1">[1]RouteAssessment!#REF!</definedName>
    <definedName name="__Ampler.Charts.95df8f6dc046443690eba9763d4c43b9" localSheetId="0" hidden="1">#REF!</definedName>
    <definedName name="__Ampler.Charts.95df8f6dc046443690eba9763d4c43b9" hidden="1">#REF!</definedName>
    <definedName name="__Ampler.Charts.ac3a886e354c4182957999ac64699388" localSheetId="0" hidden="1">#REF!</definedName>
    <definedName name="__Ampler.Charts.ac3a886e354c4182957999ac64699388" hidden="1">#REF!</definedName>
    <definedName name="__Ampler.Charts.c817a1644e39488c8e9e7ad399afe5e3" localSheetId="0" hidden="1">#REF!</definedName>
    <definedName name="__Ampler.Charts.c817a1644e39488c8e9e7ad399afe5e3" hidden="1">#REF!</definedName>
    <definedName name="__Ampler.Charts.ccf74908bffc4081a620e52ce9827f62" localSheetId="0" hidden="1">[1]RouteAssessment!#REF!</definedName>
    <definedName name="__Ampler.Charts.ccf74908bffc4081a620e52ce9827f62" hidden="1">[1]RouteAssessment!#REF!</definedName>
    <definedName name="__Ampler.Charts.e84d9270cbb94356a40d81dc703d7694" localSheetId="0" hidden="1">#REF!</definedName>
    <definedName name="__Ampler.Charts.e84d9270cbb94356a40d81dc703d7694" hidden="1">#REF!</definedName>
    <definedName name="__Ampler.Charts.fa765f69abe84d24a3c4c841a6828b6f" localSheetId="0" hidden="1">#REF!</definedName>
    <definedName name="__Ampler.Charts.fa765f69abe84d24a3c4c841a6828b6f" hidden="1">#REF!</definedName>
    <definedName name="CostUnit" localSheetId="0">'[2]Fuel Cost'!#REF!</definedName>
    <definedName name="CostUnit">'[2]Fuel Cost'!#REF!</definedName>
    <definedName name="Lifetime" localSheetId="0">#REF!</definedName>
    <definedName name="Lifetime">#REF!</definedName>
    <definedName name="x" localSheetId="0">'[2]Fuel Cost'!#REF!</definedName>
    <definedName name="x">'[2]Fuel Cost'!#REF!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9" l="1"/>
  <c r="E103" i="9"/>
  <c r="C103" i="9"/>
  <c r="B103" i="9"/>
  <c r="C102" i="9"/>
  <c r="E101" i="9"/>
  <c r="E100" i="9"/>
  <c r="E107" i="9" s="1"/>
  <c r="E89" i="9"/>
  <c r="E90" i="9" s="1"/>
  <c r="E88" i="9"/>
  <c r="E85" i="9"/>
  <c r="E108" i="9" s="1"/>
  <c r="C81" i="9"/>
  <c r="E77" i="9"/>
  <c r="E75" i="9"/>
  <c r="E76" i="9" s="1"/>
  <c r="E72" i="9"/>
  <c r="E70" i="9"/>
  <c r="E71" i="9" s="1"/>
  <c r="L69" i="9"/>
  <c r="N68" i="9"/>
  <c r="L68" i="9"/>
  <c r="O29" i="9" s="1"/>
  <c r="E67" i="9"/>
  <c r="B51" i="9"/>
  <c r="L50" i="9"/>
  <c r="N67" i="9" s="1"/>
  <c r="B47" i="9"/>
  <c r="B43" i="9"/>
  <c r="B39" i="9"/>
  <c r="R33" i="9"/>
  <c r="M33" i="9"/>
  <c r="K33" i="9"/>
  <c r="R32" i="9"/>
  <c r="M32" i="9"/>
  <c r="K32" i="9"/>
  <c r="R31" i="9"/>
  <c r="M31" i="9"/>
  <c r="K31" i="9"/>
  <c r="R30" i="9"/>
  <c r="M30" i="9"/>
  <c r="K30" i="9"/>
  <c r="R29" i="9"/>
  <c r="M29" i="9"/>
  <c r="K29" i="9"/>
  <c r="B29" i="9"/>
  <c r="R28" i="9"/>
  <c r="M28" i="9"/>
  <c r="K28" i="9"/>
  <c r="R27" i="9"/>
  <c r="M27" i="9"/>
  <c r="K27" i="9"/>
  <c r="R26" i="9"/>
  <c r="M26" i="9"/>
  <c r="K26" i="9"/>
  <c r="R25" i="9"/>
  <c r="M25" i="9"/>
  <c r="K25" i="9"/>
  <c r="D25" i="9"/>
  <c r="B25" i="9"/>
  <c r="R24" i="9"/>
  <c r="M24" i="9"/>
  <c r="K24" i="9"/>
  <c r="D24" i="9"/>
  <c r="R23" i="9"/>
  <c r="O23" i="9"/>
  <c r="M23" i="9"/>
  <c r="K23" i="9"/>
  <c r="R22" i="9"/>
  <c r="M22" i="9"/>
  <c r="K22" i="9"/>
  <c r="R21" i="9"/>
  <c r="M21" i="9"/>
  <c r="K21" i="9"/>
  <c r="R20" i="9"/>
  <c r="M20" i="9"/>
  <c r="K20" i="9"/>
  <c r="R19" i="9"/>
  <c r="M19" i="9"/>
  <c r="K19" i="9"/>
  <c r="R18" i="9"/>
  <c r="M18" i="9"/>
  <c r="K18" i="9"/>
  <c r="R17" i="9"/>
  <c r="M17" i="9"/>
  <c r="K17" i="9"/>
  <c r="R16" i="9"/>
  <c r="M16" i="9"/>
  <c r="K16" i="9"/>
  <c r="R15" i="9"/>
  <c r="M15" i="9"/>
  <c r="K15" i="9"/>
  <c r="R14" i="9"/>
  <c r="M14" i="9"/>
  <c r="K14" i="9"/>
  <c r="R13" i="9"/>
  <c r="M13" i="9"/>
  <c r="K13" i="9"/>
  <c r="R12" i="9"/>
  <c r="M12" i="9"/>
  <c r="K12" i="9"/>
  <c r="R11" i="9"/>
  <c r="M11" i="9"/>
  <c r="K11" i="9"/>
  <c r="R10" i="9"/>
  <c r="M10" i="9"/>
  <c r="K10" i="9"/>
  <c r="R9" i="9"/>
  <c r="M9" i="9"/>
  <c r="K9" i="9"/>
  <c r="R8" i="9"/>
  <c r="M8" i="9"/>
  <c r="K8" i="9"/>
  <c r="E91" i="9" l="1"/>
  <c r="E95" i="9" s="1"/>
  <c r="N23" i="9"/>
  <c r="N19" i="9"/>
  <c r="N18" i="9"/>
  <c r="N13" i="9"/>
  <c r="N14" i="9"/>
  <c r="N20" i="9"/>
  <c r="N21" i="9"/>
  <c r="N16" i="9"/>
  <c r="N15" i="9"/>
  <c r="N22" i="9"/>
  <c r="N17" i="9"/>
  <c r="O24" i="9"/>
  <c r="O26" i="9"/>
  <c r="C29" i="9"/>
  <c r="L66" i="9"/>
  <c r="N69" i="9"/>
  <c r="N25" i="9" s="1"/>
  <c r="O28" i="9"/>
  <c r="N26" i="9"/>
  <c r="N66" i="9"/>
  <c r="O25" i="9"/>
  <c r="E86" i="9"/>
  <c r="N31" i="9"/>
  <c r="O32" i="9"/>
  <c r="N29" i="9"/>
  <c r="O31" i="9"/>
  <c r="O33" i="9"/>
  <c r="L67" i="9"/>
  <c r="O30" i="9"/>
  <c r="O27" i="9"/>
  <c r="E94" i="9" l="1"/>
  <c r="E96" i="9" s="1"/>
  <c r="E97" i="9" s="1"/>
  <c r="B60" i="9" s="1"/>
  <c r="O18" i="9"/>
  <c r="O19" i="9"/>
  <c r="O13" i="9"/>
  <c r="O20" i="9"/>
  <c r="O14" i="9"/>
  <c r="O16" i="9"/>
  <c r="O15" i="9"/>
  <c r="O21" i="9"/>
  <c r="O22" i="9"/>
  <c r="O17" i="9"/>
  <c r="O8" i="9"/>
  <c r="O9" i="9"/>
  <c r="O11" i="9"/>
  <c r="O10" i="9"/>
  <c r="O12" i="9"/>
  <c r="N11" i="9"/>
  <c r="N12" i="9"/>
  <c r="N9" i="9"/>
  <c r="N8" i="9"/>
  <c r="E81" i="9" s="1"/>
  <c r="N10" i="9"/>
  <c r="N27" i="9"/>
  <c r="N28" i="9"/>
  <c r="N33" i="9"/>
  <c r="N24" i="9"/>
  <c r="N30" i="9"/>
  <c r="N32" i="9"/>
  <c r="E104" i="9" l="1"/>
  <c r="E110" i="9" s="1"/>
  <c r="C33" i="9"/>
  <c r="B33" i="9" s="1"/>
  <c r="C31" i="9"/>
  <c r="B55" i="9"/>
  <c r="E102" i="9"/>
  <c r="E82" i="9"/>
  <c r="E109" i="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<sst xmlns="http://schemas.openxmlformats.org/spreadsheetml/2006/main" count="261" uniqueCount="199">
  <si>
    <t>Mærsk Mc-Kinney Møller Center for Zero Carbon Shipping</t>
  </si>
  <si>
    <r>
      <t xml:space="preserve">Assumptions and Parameters </t>
    </r>
    <r>
      <rPr>
        <b/>
        <sz val="14"/>
        <color theme="0"/>
        <rFont val="Aptos Narrow"/>
        <family val="2"/>
      </rPr>
      <t>↓↓</t>
    </r>
  </si>
  <si>
    <t>OPS for FuelEU Compliance Calculator</t>
  </si>
  <si>
    <t>Assumptions and Parameters</t>
  </si>
  <si>
    <r>
      <rPr>
        <b/>
        <sz val="9"/>
        <color theme="1"/>
        <rFont val="Aptos Narrow"/>
        <family val="2"/>
        <scheme val="minor"/>
      </rPr>
      <t>Disclaimer</t>
    </r>
    <r>
      <rPr>
        <sz val="9"/>
        <color theme="1"/>
        <rFont val="Aptos Narrow"/>
        <family val="2"/>
        <scheme val="minor"/>
      </rPr>
      <t>: This calculator should not be construed as investment, financial, legal, tax, or accounting advice. Please question the assumptions before incorporating them into your company’s decision-making process. This calculator is provided without warranty or representation of any kind, express or implied, and Fonden Mærsk Mc-Kinney Møller Center for Zero Carbon Shipping shall not be held liable for any errors or omissions in the content, nor for any loss or damage arising from the use of it.</t>
    </r>
  </si>
  <si>
    <t>All from public sources, see links at the bottom of the table.</t>
  </si>
  <si>
    <t>Fuel Cost</t>
  </si>
  <si>
    <t>Electricity Cost</t>
  </si>
  <si>
    <t>ETS Allowance Price</t>
  </si>
  <si>
    <t>FuelEU Target</t>
  </si>
  <si>
    <r>
      <t>Basic logic:</t>
    </r>
    <r>
      <rPr>
        <sz val="12"/>
        <color theme="0"/>
        <rFont val="Aptos Narrow"/>
        <family val="2"/>
        <scheme val="minor"/>
      </rPr>
      <t xml:space="preserve"> Emissions while in port are covered by both FuelEU and ETS. When connected to OPS, the energy consumed counts as zero emissions. Therefore, a vessel connected to OPS can reduce its ETS burden and lower the intensity of the energy consumed. Depending on the relative share of energy, OPS can allow the vessel to meet FuelEU targets.</t>
    </r>
  </si>
  <si>
    <t>LSFO</t>
  </si>
  <si>
    <t>LSFO cost per tonne</t>
  </si>
  <si>
    <t>100% Biodiesel (FAME)</t>
  </si>
  <si>
    <t>100% Biodiesel (FAME) cost per tonne</t>
  </si>
  <si>
    <t>Phase-in of allowances surrendered</t>
  </si>
  <si>
    <t>Base ETS Price Projections [USD/EUA]</t>
  </si>
  <si>
    <t>ETS price projection with phase-in</t>
  </si>
  <si>
    <t>FuelEU Target Intensity</t>
  </si>
  <si>
    <t>Drop downs</t>
  </si>
  <si>
    <r>
      <rPr>
        <b/>
        <sz val="12"/>
        <color theme="0"/>
        <rFont val="Aptos Narrow"/>
        <family val="2"/>
        <scheme val="minor"/>
      </rPr>
      <t>How to use the model:</t>
    </r>
    <r>
      <rPr>
        <sz val="12"/>
        <color theme="0"/>
        <rFont val="Aptos Narrow"/>
        <family val="2"/>
        <scheme val="minor"/>
      </rPr>
      <t xml:space="preserve">  First enter the consumption in tonnes of fuel and hours spent connected to OPS. Then select a vessel type and decide if you will use average power demand from a public source or input your own value. To estimate costs decide if you want the model to use our standard assumptions or input values according to your organization.</t>
    </r>
  </si>
  <si>
    <t>USD/GJ</t>
  </si>
  <si>
    <t>USD/tonne</t>
  </si>
  <si>
    <t>USD/MWh</t>
  </si>
  <si>
    <t>%</t>
  </si>
  <si>
    <t>USD/EUA</t>
  </si>
  <si>
    <t>gCO2eq/MJ</t>
  </si>
  <si>
    <t>Yes</t>
  </si>
  <si>
    <r>
      <rPr>
        <b/>
        <sz val="12"/>
        <color theme="0"/>
        <rFont val="Aptos Narrow"/>
        <family val="2"/>
        <scheme val="minor"/>
      </rPr>
      <t>The results:</t>
    </r>
    <r>
      <rPr>
        <sz val="12"/>
        <color theme="0"/>
        <rFont val="Aptos Narrow"/>
        <family val="2"/>
        <scheme val="minor"/>
      </rPr>
      <t xml:space="preserve"> Find the costs of fuel plus FuelEU and ETS with OPS to help in decision making around the use of OPS as a compliance measure.</t>
    </r>
  </si>
  <si>
    <t>User Input</t>
  </si>
  <si>
    <t>Input 1: Consumption</t>
  </si>
  <si>
    <t>Notes</t>
  </si>
  <si>
    <t>Year for estimation</t>
  </si>
  <si>
    <t>Enter fuel consumption covered by ETS and FuelEU [tonnes]</t>
  </si>
  <si>
    <t>Tonnes LSFO (HFO) per year</t>
  </si>
  <si>
    <t>The tonnes of LSFO subject to EU policy</t>
  </si>
  <si>
    <t>Tonnes Biodiesel (FAME - Waste Cooking Oil) per year</t>
  </si>
  <si>
    <t>The tonnes of FAME subject to EU policy</t>
  </si>
  <si>
    <t>Enter total annual time connected to OPS at an EU port [hours]</t>
  </si>
  <si>
    <t>Hours per year</t>
  </si>
  <si>
    <t xml:space="preserve">The number of hours connected to OPS at an EU port </t>
  </si>
  <si>
    <t>Power demand while connected to OPS in port</t>
  </si>
  <si>
    <t>Select segment</t>
  </si>
  <si>
    <t>Oil tanker</t>
  </si>
  <si>
    <t>Choose segment to determine the power demand</t>
  </si>
  <si>
    <t>25,000–49,999</t>
  </si>
  <si>
    <t>Use Avg Power Demand from Amaral et al., 2023?</t>
  </si>
  <si>
    <t>Compliance summary</t>
  </si>
  <si>
    <t>The target GHG intensity for vessels covered by the FuelEU</t>
  </si>
  <si>
    <t xml:space="preserve">The GHG intensity based on the fuel mix and OPS </t>
  </si>
  <si>
    <t>Fuel Intensity Actual [gCO2e/MJ]:</t>
  </si>
  <si>
    <t>Compliance balance</t>
  </si>
  <si>
    <t xml:space="preserve"> </t>
  </si>
  <si>
    <t>Sources:</t>
  </si>
  <si>
    <t>MMMCZCS, 2024</t>
  </si>
  <si>
    <t>LR &amp; UMAS, 2020</t>
  </si>
  <si>
    <t>EU Reference Scenario (EU, 2020; pg 100)</t>
  </si>
  <si>
    <t>Pietzcker et al., 2021</t>
  </si>
  <si>
    <t>FuelEU Article 4(2)</t>
  </si>
  <si>
    <t>Input 2: Costs</t>
  </si>
  <si>
    <t>LSFO Fuel Costs [USD/tonne LSFO]</t>
  </si>
  <si>
    <t>Fuel Emissions Factors</t>
  </si>
  <si>
    <t>MMM Fuel Cost Calculator, 2024</t>
  </si>
  <si>
    <t>Biodiesel</t>
  </si>
  <si>
    <t>Source</t>
  </si>
  <si>
    <t>FuelEU WtW EF (gCO2e/MJ)</t>
  </si>
  <si>
    <t>FuelEU Annex II; Biodiesel: RED Annex V</t>
  </si>
  <si>
    <t>Lower Calorific Value (MJ/g)</t>
  </si>
  <si>
    <t>LSFO: FuelEU Annex II; Biodiesel: RED Annex III</t>
  </si>
  <si>
    <t>Biodiesel Fuel Costs [USD/tonne biodiesel]</t>
  </si>
  <si>
    <t>EU ETS TtW EF (gCO2e/MJ)</t>
  </si>
  <si>
    <t>MRV Delegated Regulation Annex II (1.2)</t>
  </si>
  <si>
    <t>This is simplification, in reality biodiesel will face ETS costs from non-CO2 emissions</t>
  </si>
  <si>
    <t>Use LR &amp; UMAS Estimate?</t>
  </si>
  <si>
    <t>LR &amp; UMAS, 2021</t>
  </si>
  <si>
    <t>FuelEU Parameters</t>
  </si>
  <si>
    <t>Parameters</t>
  </si>
  <si>
    <t>Unit</t>
  </si>
  <si>
    <t>Value</t>
  </si>
  <si>
    <t>FuelEU Reference Value</t>
  </si>
  <si>
    <t>Intensity reduction targets are based on this value</t>
  </si>
  <si>
    <t>FuelEU Penalty in tonnes fuel</t>
  </si>
  <si>
    <t>EUR/tonne VLSFOeq</t>
  </si>
  <si>
    <t>FuelEU Annex IV</t>
  </si>
  <si>
    <t>Non-compliance in tons of VLSFO x 2400</t>
  </si>
  <si>
    <t>USD per EUR</t>
  </si>
  <si>
    <t>USD/EUR</t>
  </si>
  <si>
    <t>ECB, 2024</t>
  </si>
  <si>
    <t>European Central Bank: March 2014 to March 2024</t>
  </si>
  <si>
    <t>ETS Allowance Price [USD/tonne CO2e]</t>
  </si>
  <si>
    <t>Conversion</t>
  </si>
  <si>
    <t>1 GJ = 0.277778 MWh</t>
  </si>
  <si>
    <t>Use Pietzcker et al., 2021 EUA Forecast?</t>
  </si>
  <si>
    <t>HICP 2015 to 2024</t>
  </si>
  <si>
    <t>HICP - Overall Index (2015 to 2024)</t>
  </si>
  <si>
    <t>Used for the electricity prices which are in EUR 2015</t>
  </si>
  <si>
    <t>Estimated Power Requirements per Moored Vessel (MW)</t>
  </si>
  <si>
    <t>Results</t>
  </si>
  <si>
    <r>
      <rPr>
        <vertAlign val="subscript"/>
        <sz val="12"/>
        <color theme="1"/>
        <rFont val="Aptos Narrow"/>
        <family val="2"/>
        <scheme val="minor"/>
      </rPr>
      <t xml:space="preserve"> Type</t>
    </r>
    <r>
      <rPr>
        <vertAlign val="superscript"/>
        <sz val="12"/>
        <color theme="1"/>
        <rFont val="Aptos Narrow"/>
        <family val="2"/>
        <scheme val="minor"/>
      </rPr>
      <t xml:space="preserve">    GT  </t>
    </r>
  </si>
  <si>
    <t>5000–9999</t>
  </si>
  <si>
    <t>10,000–24,999</t>
  </si>
  <si>
    <t>50,000–99,999</t>
  </si>
  <si>
    <t>&gt;=100,000</t>
  </si>
  <si>
    <t>Chemical/product tanker</t>
  </si>
  <si>
    <t>Gas tanker</t>
  </si>
  <si>
    <t>Bulk carrier</t>
  </si>
  <si>
    <t>General cargo</t>
  </si>
  <si>
    <t>Link to Newsletter 2 on Value of Pooling</t>
  </si>
  <si>
    <t>Container</t>
  </si>
  <si>
    <t>Ro-Ro</t>
  </si>
  <si>
    <t>Reefer</t>
  </si>
  <si>
    <t>Amaral et al., 2023</t>
  </si>
  <si>
    <t>EU Electricity Price Based on EU Reference Scenario</t>
  </si>
  <si>
    <t>Calculation of Compliance Balance with OPS</t>
  </si>
  <si>
    <t>Avg Price [EUR/MWh]</t>
  </si>
  <si>
    <t>Adjusted [USD/MWh]</t>
  </si>
  <si>
    <t>Source or Calculation</t>
  </si>
  <si>
    <t>Units</t>
  </si>
  <si>
    <t>FuelEU Annex II</t>
  </si>
  <si>
    <t>tonnes CO2e/tonne fuel</t>
  </si>
  <si>
    <t>Convered to tonnes CO2e per tonne fuel</t>
  </si>
  <si>
    <t>Based on waste cooking oil FAME</t>
  </si>
  <si>
    <t>g/MJ x 1000</t>
  </si>
  <si>
    <t>OPS</t>
  </si>
  <si>
    <t>Zero rated according to the FuelEU</t>
  </si>
  <si>
    <t>Energy Consumption</t>
  </si>
  <si>
    <t>tonnes x LCV</t>
  </si>
  <si>
    <t>Fuel 1: Emissions</t>
  </si>
  <si>
    <t>WtW EF x Consumption</t>
  </si>
  <si>
    <t>tonnes CO2e</t>
  </si>
  <si>
    <t>Fuel 2: Emissions</t>
  </si>
  <si>
    <t>Emissions zero-rated for EU ETS</t>
  </si>
  <si>
    <t>MW</t>
  </si>
  <si>
    <t>OPS energy consumption</t>
  </si>
  <si>
    <t>Power x hours at berth</t>
  </si>
  <si>
    <t>MWh</t>
  </si>
  <si>
    <t>OPS energy consumption in MJ</t>
  </si>
  <si>
    <t>Power / conversion</t>
  </si>
  <si>
    <t>Compliance Balance</t>
  </si>
  <si>
    <t>Total emissions</t>
  </si>
  <si>
    <t>Total energy</t>
  </si>
  <si>
    <t>GHG intensity actual</t>
  </si>
  <si>
    <t>gCO2e/MJ</t>
  </si>
  <si>
    <t>Formula in FuelEU Annex I</t>
  </si>
  <si>
    <t>Formula in FuelEU Annex IV</t>
  </si>
  <si>
    <t>Fuel and Compliance Unit Costs</t>
  </si>
  <si>
    <t>Cost per GJ x LCV</t>
  </si>
  <si>
    <t>USD/tonne LSFO</t>
  </si>
  <si>
    <t>Below uses assumptions or user input</t>
  </si>
  <si>
    <t>Biodiesel cost per tonne</t>
  </si>
  <si>
    <t>USD/tonne biodiesel</t>
  </si>
  <si>
    <t>USD/tonneCO2e</t>
  </si>
  <si>
    <t>Penalty abatement cost</t>
  </si>
  <si>
    <t>Penalty / (GHG actual converted to tonnes VLSFO)</t>
  </si>
  <si>
    <t>USD/tCO2e abatement</t>
  </si>
  <si>
    <t>Summary Costs</t>
  </si>
  <si>
    <t>Fuel Costs</t>
  </si>
  <si>
    <t>Fuel costs x fuel consumed</t>
  </si>
  <si>
    <t>USD/year</t>
  </si>
  <si>
    <t>ETS Costs</t>
  </si>
  <si>
    <t>TtW EF of fuels x EUA price</t>
  </si>
  <si>
    <t>Assumes zero-rating for biofuel</t>
  </si>
  <si>
    <t>OPS Power Costs</t>
  </si>
  <si>
    <t>MWh consumed x price per MWh</t>
  </si>
  <si>
    <t>FuelEU Penalty</t>
  </si>
  <si>
    <t>Penalty per tonne x Deficit</t>
  </si>
  <si>
    <t>Average EU Electricity Price</t>
  </si>
  <si>
    <t>Industry Price [EUR/MWh]</t>
  </si>
  <si>
    <t>Average</t>
  </si>
  <si>
    <t>Industry</t>
  </si>
  <si>
    <t>Enter my own</t>
  </si>
  <si>
    <t>Use EU Reference Scenario: Industry or Average?</t>
  </si>
  <si>
    <t>Industry EU Electricity Price</t>
  </si>
  <si>
    <r>
      <t xml:space="preserve">Purpose: </t>
    </r>
    <r>
      <rPr>
        <sz val="12"/>
        <color theme="0"/>
        <rFont val="Aptos Narrow"/>
        <family val="2"/>
        <scheme val="minor"/>
      </rPr>
      <t>This tool allows you to evaluate the costs and benefits of using OPS for compliance to achieve FuelEU intensity targets.</t>
    </r>
  </si>
  <si>
    <t>Select size in gross tonnes (GT)</t>
  </si>
  <si>
    <t>Choose size [GT] to determine the power demand</t>
  </si>
  <si>
    <t>Use Center Fuel Cost Calculator Estimate?</t>
  </si>
  <si>
    <t>Electricity Price [USD/MWh]</t>
  </si>
  <si>
    <t>MWh/GJ</t>
  </si>
  <si>
    <t>Taken from the EU Reference Scenario 2020 we use electricity prices for 1) industry, and 2) average. We adjust the values based on inflation (2015 to 2024) and convert to USD. We then interpolate above. Prices include taxes.</t>
  </si>
  <si>
    <t>Target emissions factor</t>
  </si>
  <si>
    <t>WtW emissions factor</t>
  </si>
  <si>
    <t>WtW emissions factor converted</t>
  </si>
  <si>
    <t>Fuel cost</t>
  </si>
  <si>
    <t>Emissions factor</t>
  </si>
  <si>
    <t>Power price</t>
  </si>
  <si>
    <t>EU industry, average, or user input price</t>
  </si>
  <si>
    <t>Power price converted</t>
  </si>
  <si>
    <t>Cost per MWh x MWh per GJ</t>
  </si>
  <si>
    <t>Converted for comparison with above</t>
  </si>
  <si>
    <t>Fuel 1: LSFO consumption in MJs</t>
  </si>
  <si>
    <t>million MJ</t>
  </si>
  <si>
    <t>Fuel 2: Biodiesel consumption in MJs</t>
  </si>
  <si>
    <t>OPS Power demand at berth</t>
  </si>
  <si>
    <t>Sum of emissions</t>
  </si>
  <si>
    <t>Sum of energy</t>
  </si>
  <si>
    <t>Emissions / energy</t>
  </si>
  <si>
    <t>(Target - actual) x energy</t>
  </si>
  <si>
    <t>Electricity cost per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</si>
</sst>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09]#,##0"/>
    <numFmt numFmtId="165" formatCode="0.000"/>
    <numFmt numFmtId="166" formatCode="_-* #,##0_-;\-* #,##0_-;_-* &quot;-&quot;??_-;_-@_-"/>
    <numFmt numFmtId="167" formatCode="0.0000"/>
    <numFmt numFmtId="168" formatCode="_-* #,##0.0_-;\-* #,##0.0_-;_-* &quot;-&quot;??_-;_-@_-"/>
  </numFmts>
  <fonts count="54"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1"/>
      <color theme="1" tint="0.34998626667073579"/>
      <name val="Aptos Narrow"/>
      <family val="2"/>
      <scheme val="minor"/>
    </font>
    <font>
      <i/>
      <sz val="10"/>
      <color theme="1"/>
      <name val="Aptos Narrow"/>
      <family val="2"/>
      <scheme val="minor"/>
    </font>
    <font>
      <b/>
      <sz val="14"/>
      <color theme="0"/>
      <name val="Aptos Narrow"/>
      <family val="2"/>
      <scheme val="minor"/>
    </font>
    <font>
      <b/>
      <sz val="14"/>
      <color theme="0"/>
      <name val="Aptos Narrow"/>
      <family val="2"/>
    </font>
    <font>
      <b/>
      <sz val="18"/>
      <color theme="0"/>
      <name val="Aptos Display"/>
      <family val="2"/>
      <scheme val="major"/>
    </font>
    <font>
      <b/>
      <sz val="18"/>
      <color theme="1"/>
      <name val="Aptos Display"/>
      <family val="2"/>
      <scheme val="major"/>
    </font>
    <font>
      <sz val="10"/>
      <color theme="1"/>
      <name val="Aktiv Grotesk Light"/>
      <family val="2"/>
    </font>
    <font>
      <sz val="12"/>
      <color theme="1"/>
      <name val="Aptos Narrow"/>
      <family val="2"/>
      <scheme val="minor"/>
    </font>
    <font>
      <b/>
      <sz val="12"/>
      <color theme="0"/>
      <name val="Aptos Narrow"/>
      <family val="2"/>
      <scheme val="minor"/>
    </font>
    <font>
      <sz val="12"/>
      <color theme="0"/>
      <name val="Aptos Narrow"/>
      <family val="2"/>
      <scheme val="minor"/>
    </font>
    <font>
      <sz val="14"/>
      <color theme="0"/>
      <name val="Aptos Narrow"/>
      <family val="2"/>
      <scheme val="minor"/>
    </font>
    <font>
      <b/>
      <sz val="11"/>
      <color rgb="FF3C5E86"/>
      <name val="Aptos Narrow"/>
      <family val="2"/>
      <scheme val="minor"/>
    </font>
    <font>
      <b/>
      <i/>
      <sz val="11"/>
      <color rgb="FF3C5E86"/>
      <name val="Aptos Narrow"/>
      <family val="2"/>
      <scheme val="minor"/>
    </font>
    <font>
      <i/>
      <sz val="11"/>
      <color rgb="FF3C5E86"/>
      <name val="Aptos Narrow"/>
      <family val="2"/>
      <scheme val="minor"/>
    </font>
    <font>
      <i/>
      <sz val="11"/>
      <color theme="1" tint="0.499984740745262"/>
      <name val="Aptos Narrow"/>
      <family val="2"/>
      <scheme val="minor"/>
    </font>
    <font>
      <sz val="18"/>
      <color theme="0"/>
      <name val="Aptos Display"/>
      <family val="2"/>
      <scheme val="major"/>
    </font>
    <font>
      <b/>
      <sz val="14"/>
      <color theme="1" tint="0.249977111117893"/>
      <name val="Aptos Narrow"/>
      <family val="2"/>
      <scheme val="minor"/>
    </font>
    <font>
      <b/>
      <sz val="11"/>
      <color rgb="FFB8E0C2"/>
      <name val="Aptos Narrow"/>
      <family val="2"/>
      <scheme val="minor"/>
    </font>
    <font>
      <i/>
      <sz val="12"/>
      <color theme="8" tint="-0.499984740745262"/>
      <name val="Aptos Narrow"/>
      <family val="2"/>
      <scheme val="minor"/>
    </font>
    <font>
      <i/>
      <sz val="12"/>
      <color rgb="FF4C7870"/>
      <name val="Aptos Narrow"/>
      <family val="2"/>
      <scheme val="minor"/>
    </font>
    <font>
      <sz val="11"/>
      <color theme="0" tint="-4.9989318521683403E-2"/>
      <name val="Aptos Narrow"/>
      <family val="2"/>
      <scheme val="minor"/>
    </font>
    <font>
      <sz val="8"/>
      <color theme="0"/>
      <name val="Aptos Narrow"/>
      <family val="2"/>
      <scheme val="minor"/>
    </font>
    <font>
      <i/>
      <sz val="11"/>
      <color rgb="FF4C7870"/>
      <name val="Aptos Narrow"/>
      <family val="2"/>
      <scheme val="minor"/>
    </font>
    <font>
      <i/>
      <sz val="9"/>
      <color theme="0" tint="-0.499984740745262"/>
      <name val="Aptos Narrow"/>
      <family val="2"/>
      <scheme val="minor"/>
    </font>
    <font>
      <sz val="9"/>
      <color theme="0" tint="-0.499984740745262"/>
      <name val="Aptos Narrow"/>
      <family val="2"/>
      <scheme val="minor"/>
    </font>
    <font>
      <u/>
      <sz val="9"/>
      <color theme="0" tint="-0.499984740745262"/>
      <name val="Aptos Narrow"/>
      <family val="2"/>
      <scheme val="minor"/>
    </font>
    <font>
      <b/>
      <sz val="12"/>
      <color theme="1"/>
      <name val="Aptos Narrow"/>
      <family val="2"/>
      <scheme val="minor"/>
    </font>
    <font>
      <sz val="12"/>
      <color rgb="FF3C5E86"/>
      <name val="Aptos Narrow"/>
      <family val="2"/>
      <scheme val="minor"/>
    </font>
    <font>
      <i/>
      <sz val="12"/>
      <color theme="0" tint="-0.499984740745262"/>
      <name val="Aptos Narrow"/>
      <family val="2"/>
      <scheme val="minor"/>
    </font>
    <font>
      <u/>
      <sz val="11"/>
      <color rgb="FFB8E0C2"/>
      <name val="Aptos Narrow"/>
      <family val="2"/>
      <scheme val="minor"/>
    </font>
    <font>
      <sz val="11"/>
      <color theme="0" tint="-0.14999847407452621"/>
      <name val="Aptos Narrow"/>
      <family val="2"/>
      <scheme val="minor"/>
    </font>
    <font>
      <sz val="11"/>
      <color theme="0" tint="-0.249977111117893"/>
      <name val="Aptos Narrow"/>
      <family val="2"/>
      <scheme val="minor"/>
    </font>
    <font>
      <sz val="16"/>
      <color theme="0"/>
      <name val="Aptos Display"/>
      <family val="2"/>
      <scheme val="major"/>
    </font>
    <font>
      <b/>
      <i/>
      <sz val="11"/>
      <color theme="0"/>
      <name val="Aptos Narrow"/>
      <family val="2"/>
      <scheme val="minor"/>
    </font>
    <font>
      <i/>
      <u/>
      <sz val="8"/>
      <color theme="10"/>
      <name val="Aptos Narrow"/>
      <family val="2"/>
      <scheme val="minor"/>
    </font>
    <font>
      <b/>
      <i/>
      <sz val="10"/>
      <color theme="0"/>
      <name val="Aptos Narrow"/>
      <family val="2"/>
      <scheme val="minor"/>
    </font>
    <font>
      <sz val="11"/>
      <color theme="1"/>
      <name val="Aktiv Grotesk Light"/>
      <family val="2"/>
    </font>
    <font>
      <sz val="10"/>
      <color theme="1"/>
      <name val="Aptos Narrow"/>
      <family val="2"/>
      <scheme val="minor"/>
    </font>
    <font>
      <sz val="9"/>
      <color theme="1"/>
      <name val="Aptos Narrow"/>
      <family val="2"/>
      <scheme val="minor"/>
    </font>
    <font>
      <b/>
      <sz val="9"/>
      <color theme="1"/>
      <name val="Aptos Narrow"/>
      <family val="2"/>
      <scheme val="minor"/>
    </font>
    <font>
      <sz val="11"/>
      <color theme="0" tint="-0.34998626667073579"/>
      <name val="Aptos Narrow"/>
      <family val="2"/>
      <scheme val="minor"/>
    </font>
    <font>
      <i/>
      <sz val="11"/>
      <color theme="0" tint="-0.34998626667073579"/>
      <name val="Aptos Narrow"/>
      <family val="2"/>
      <scheme val="minor"/>
    </font>
    <font>
      <i/>
      <u/>
      <sz val="11"/>
      <color rgb="FFB8E0C2"/>
      <name val="Aptos Narrow"/>
      <family val="2"/>
      <scheme val="minor"/>
    </font>
    <font>
      <i/>
      <sz val="10"/>
      <color theme="1" tint="0.499984740745262"/>
      <name val="Aptos Narrow"/>
      <family val="2"/>
      <scheme val="minor"/>
    </font>
    <font>
      <vertAlign val="superscript"/>
      <sz val="12"/>
      <color theme="1"/>
      <name val="Aptos Narrow"/>
      <family val="2"/>
      <scheme val="minor"/>
    </font>
    <font>
      <vertAlign val="subscript"/>
      <sz val="12"/>
      <color theme="1"/>
      <name val="Aptos Narrow"/>
      <family val="2"/>
      <scheme val="minor"/>
    </font>
    <font>
      <sz val="10"/>
      <color rgb="FF3C5E86"/>
      <name val="Aptos Narrow"/>
      <family val="2"/>
      <scheme val="minor"/>
    </font>
    <font>
      <sz val="8"/>
      <color rgb="FF3C5E86"/>
      <name val="Aptos Narrow"/>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rgb="FF4C7870"/>
        <bgColor indexed="64"/>
      </patternFill>
    </fill>
    <fill>
      <patternFill patternType="solid">
        <fgColor rgb="FF3C5E8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5E948A"/>
        <bgColor indexed="64"/>
      </patternFill>
    </fill>
    <fill>
      <patternFill patternType="solid">
        <fgColor theme="8" tint="0.79998168889431442"/>
        <bgColor indexed="64"/>
      </patternFill>
    </fill>
    <fill>
      <patternFill patternType="solid">
        <fgColor rgb="FFBFD7D2"/>
        <bgColor indexed="64"/>
      </patternFill>
    </fill>
    <fill>
      <patternFill patternType="solid">
        <fgColor rgb="FFD7E5E2"/>
        <bgColor indexed="64"/>
      </patternFill>
    </fill>
    <fill>
      <patternFill patternType="solid">
        <fgColor rgb="FFE8F0EE"/>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7F7F7F"/>
      </left>
      <right style="double">
        <color rgb="FF7F7F7F"/>
      </right>
      <top style="double">
        <color rgb="FF7F7F7F"/>
      </top>
      <bottom style="double">
        <color rgb="FF7F7F7F"/>
      </bottom>
      <diagonal/>
    </border>
    <border>
      <left style="double">
        <color rgb="FF7F7F7F"/>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Down="1">
      <left/>
      <right/>
      <top/>
      <bottom/>
      <diagonal style="thin">
        <color auto="1"/>
      </diagonal>
    </border>
  </borders>
  <cellStyleXfs count="6">
    <xf numFmtId="0" fontId="0" fillId="0" borderId="0"/>
    <xf numFmtId="9" fontId="1" fillId="0" borderId="0" applyFont="0" applyFill="0" applyBorder="0" applyAlignment="0" applyProtection="0"/>
    <xf numFmtId="0" fontId="24" fillId="8" borderId="11"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130">
    <xf numFmtId="0" fontId="0" fillId="0" borderId="0" xfId="0"/>
    <xf numFmtId="0" fontId="0" fillId="2" borderId="0" xfId="0" applyFill="1"/>
    <xf numFmtId="0" fontId="6" fillId="2" borderId="0" xfId="0" applyFont="1" applyFill="1" applyAlignment="1">
      <alignment vertical="center"/>
    </xf>
    <xf numFmtId="0" fontId="7" fillId="2" borderId="0" xfId="0" applyFont="1" applyFill="1" applyAlignment="1">
      <alignment horizontal="center" vertical="center"/>
    </xf>
    <xf numFmtId="0" fontId="0" fillId="3" borderId="0" xfId="0" applyFill="1"/>
    <xf numFmtId="0" fontId="8" fillId="4" borderId="0" xfId="0" applyFont="1" applyFill="1" applyAlignment="1">
      <alignment horizontal="center" vertical="center" textRotation="90"/>
    </xf>
    <xf numFmtId="0" fontId="0" fillId="5" borderId="0" xfId="0" applyFill="1"/>
    <xf numFmtId="0" fontId="2" fillId="3" borderId="0" xfId="0" applyFont="1" applyFill="1"/>
    <xf numFmtId="0" fontId="10" fillId="3" borderId="0" xfId="0" applyFont="1" applyFill="1"/>
    <xf numFmtId="0" fontId="11" fillId="5" borderId="0" xfId="0" applyFont="1" applyFill="1"/>
    <xf numFmtId="0" fontId="3" fillId="5" borderId="0" xfId="0" applyFont="1" applyFill="1"/>
    <xf numFmtId="0" fontId="12" fillId="5" borderId="0" xfId="0" applyFont="1" applyFill="1" applyAlignment="1">
      <alignment vertical="center"/>
    </xf>
    <xf numFmtId="0" fontId="13" fillId="5" borderId="0" xfId="0" applyFont="1" applyFill="1" applyAlignment="1">
      <alignment vertical="center"/>
    </xf>
    <xf numFmtId="0" fontId="17" fillId="5" borderId="5" xfId="0" applyFont="1" applyFill="1" applyBorder="1" applyAlignment="1">
      <alignment wrapText="1"/>
    </xf>
    <xf numFmtId="0" fontId="18" fillId="5" borderId="0" xfId="0" applyFont="1" applyFill="1" applyAlignment="1">
      <alignment wrapText="1"/>
    </xf>
    <xf numFmtId="0" fontId="17" fillId="5" borderId="0" xfId="0" applyFont="1" applyFill="1" applyAlignment="1">
      <alignment wrapText="1"/>
    </xf>
    <xf numFmtId="0" fontId="18" fillId="5" borderId="6" xfId="0" applyFont="1" applyFill="1" applyBorder="1" applyAlignment="1">
      <alignment wrapText="1"/>
    </xf>
    <xf numFmtId="0" fontId="17" fillId="5" borderId="6" xfId="0" applyFont="1" applyFill="1" applyBorder="1" applyAlignment="1">
      <alignment wrapText="1"/>
    </xf>
    <xf numFmtId="0" fontId="17" fillId="5" borderId="7" xfId="0" applyFont="1" applyFill="1" applyBorder="1" applyAlignment="1">
      <alignment wrapText="1"/>
    </xf>
    <xf numFmtId="0" fontId="19" fillId="5" borderId="8" xfId="0" applyFont="1" applyFill="1" applyBorder="1" applyAlignment="1">
      <alignment vertical="center"/>
    </xf>
    <xf numFmtId="0" fontId="19" fillId="5" borderId="9" xfId="0" applyFont="1" applyFill="1" applyBorder="1" applyAlignment="1">
      <alignment vertical="center"/>
    </xf>
    <xf numFmtId="0" fontId="19" fillId="5" borderId="10" xfId="0" applyFont="1" applyFill="1" applyBorder="1" applyAlignment="1">
      <alignment vertical="center"/>
    </xf>
    <xf numFmtId="0" fontId="17" fillId="5" borderId="0" xfId="0" applyFont="1" applyFill="1"/>
    <xf numFmtId="2" fontId="0" fillId="5" borderId="5" xfId="0" applyNumberFormat="1" applyFill="1" applyBorder="1"/>
    <xf numFmtId="2" fontId="20" fillId="5" borderId="0" xfId="0" applyNumberFormat="1" applyFont="1" applyFill="1"/>
    <xf numFmtId="2" fontId="0" fillId="5" borderId="0" xfId="0" applyNumberFormat="1" applyFill="1"/>
    <xf numFmtId="1" fontId="0" fillId="5" borderId="0" xfId="0" applyNumberFormat="1" applyFill="1"/>
    <xf numFmtId="2" fontId="0" fillId="5" borderId="7" xfId="0" applyNumberFormat="1" applyFill="1" applyBorder="1"/>
    <xf numFmtId="0" fontId="21" fillId="3" borderId="0" xfId="0" applyFont="1" applyFill="1" applyAlignment="1">
      <alignment vertical="center"/>
    </xf>
    <xf numFmtId="0" fontId="0" fillId="3" borderId="0" xfId="0" applyFill="1" applyAlignment="1">
      <alignment vertical="center"/>
    </xf>
    <xf numFmtId="0" fontId="8" fillId="7" borderId="0" xfId="0" applyFont="1" applyFill="1" applyAlignment="1">
      <alignment vertical="center"/>
    </xf>
    <xf numFmtId="0" fontId="22" fillId="7" borderId="0" xfId="0" applyFont="1" applyFill="1" applyAlignment="1">
      <alignment vertical="center"/>
    </xf>
    <xf numFmtId="0" fontId="23" fillId="7" borderId="0" xfId="0" applyFont="1" applyFill="1" applyAlignment="1">
      <alignment vertical="center"/>
    </xf>
    <xf numFmtId="0" fontId="14" fillId="3" borderId="0" xfId="0" applyFont="1" applyFill="1" applyAlignment="1">
      <alignment vertical="center"/>
    </xf>
    <xf numFmtId="0" fontId="25" fillId="9" borderId="11" xfId="2" applyFont="1" applyFill="1" applyAlignment="1">
      <alignment horizontal="center" vertical="center"/>
    </xf>
    <xf numFmtId="0" fontId="4" fillId="3" borderId="0" xfId="0" applyFont="1" applyFill="1" applyAlignment="1">
      <alignment vertical="center"/>
    </xf>
    <xf numFmtId="0" fontId="26" fillId="3" borderId="0" xfId="0" applyFont="1" applyFill="1" applyAlignment="1">
      <alignment vertical="center" wrapText="1"/>
    </xf>
    <xf numFmtId="0" fontId="7" fillId="3" borderId="0" xfId="0" applyFont="1" applyFill="1" applyAlignment="1">
      <alignment horizontal="center" vertical="center"/>
    </xf>
    <xf numFmtId="0" fontId="8" fillId="3" borderId="0" xfId="0" applyFont="1" applyFill="1"/>
    <xf numFmtId="0" fontId="8" fillId="3" borderId="0" xfId="0" applyFont="1" applyFill="1" applyAlignment="1">
      <alignment vertical="center"/>
    </xf>
    <xf numFmtId="0" fontId="27" fillId="3" borderId="0" xfId="0" applyFont="1" applyFill="1" applyAlignment="1">
      <alignment vertical="center" wrapText="1"/>
    </xf>
    <xf numFmtId="0" fontId="28" fillId="9" borderId="11" xfId="2" applyFont="1" applyFill="1" applyAlignment="1">
      <alignment horizontal="center" vertical="center"/>
    </xf>
    <xf numFmtId="0" fontId="27" fillId="3" borderId="12" xfId="0" applyFont="1" applyFill="1" applyBorder="1" applyAlignment="1">
      <alignment vertical="center"/>
    </xf>
    <xf numFmtId="0" fontId="0" fillId="10" borderId="0" xfId="0" applyFill="1" applyAlignment="1">
      <alignment vertical="center"/>
    </xf>
    <xf numFmtId="2" fontId="0" fillId="11" borderId="0" xfId="0" applyNumberFormat="1" applyFill="1" applyAlignment="1">
      <alignment vertical="center"/>
    </xf>
    <xf numFmtId="1" fontId="0" fillId="11" borderId="0" xfId="0" applyNumberFormat="1" applyFill="1" applyAlignment="1">
      <alignment vertical="center"/>
    </xf>
    <xf numFmtId="164" fontId="0" fillId="11" borderId="0" xfId="0" applyNumberFormat="1" applyFill="1" applyAlignment="1">
      <alignment vertical="center"/>
    </xf>
    <xf numFmtId="0" fontId="27" fillId="3" borderId="0" xfId="0" applyFont="1" applyFill="1" applyAlignment="1">
      <alignment vertical="top" wrapText="1"/>
    </xf>
    <xf numFmtId="2" fontId="0" fillId="5" borderId="13" xfId="0" applyNumberFormat="1" applyFill="1" applyBorder="1"/>
    <xf numFmtId="2" fontId="20" fillId="5" borderId="14" xfId="0" applyNumberFormat="1" applyFont="1" applyFill="1" applyBorder="1"/>
    <xf numFmtId="2" fontId="0" fillId="5" borderId="14" xfId="0" applyNumberFormat="1" applyFill="1" applyBorder="1"/>
    <xf numFmtId="2" fontId="0" fillId="5" borderId="16" xfId="0" applyNumberFormat="1" applyFill="1" applyBorder="1"/>
    <xf numFmtId="0" fontId="29" fillId="5" borderId="0" xfId="0" applyFont="1" applyFill="1" applyAlignment="1">
      <alignment horizontal="right"/>
    </xf>
    <xf numFmtId="0" fontId="29" fillId="5" borderId="0" xfId="0" applyFont="1" applyFill="1"/>
    <xf numFmtId="0" fontId="30" fillId="5" borderId="0" xfId="0" applyFont="1" applyFill="1"/>
    <xf numFmtId="0" fontId="31" fillId="5" borderId="0" xfId="4" applyFont="1" applyFill="1" applyBorder="1" applyAlignment="1">
      <alignment vertical="center"/>
    </xf>
    <xf numFmtId="0" fontId="4" fillId="3" borderId="0" xfId="0" applyFont="1" applyFill="1"/>
    <xf numFmtId="0" fontId="32" fillId="5" borderId="0" xfId="0" applyFont="1" applyFill="1"/>
    <xf numFmtId="0" fontId="13" fillId="5" borderId="0" xfId="0" applyFont="1" applyFill="1" applyAlignment="1">
      <alignment horizontal="left"/>
    </xf>
    <xf numFmtId="0" fontId="33" fillId="5" borderId="0" xfId="0" applyFont="1" applyFill="1" applyAlignment="1">
      <alignment horizontal="left" wrapText="1"/>
    </xf>
    <xf numFmtId="0" fontId="34" fillId="5" borderId="0" xfId="0" applyFont="1" applyFill="1" applyAlignment="1">
      <alignment horizontal="left"/>
    </xf>
    <xf numFmtId="0" fontId="35" fillId="3" borderId="0" xfId="3" applyFont="1" applyFill="1"/>
    <xf numFmtId="0" fontId="17" fillId="5" borderId="0" xfId="0" applyFont="1" applyFill="1" applyAlignment="1">
      <alignment horizontal="right"/>
    </xf>
    <xf numFmtId="0" fontId="31" fillId="5" borderId="0" xfId="4" applyFont="1" applyFill="1" applyBorder="1" applyAlignment="1">
      <alignment horizontal="left" vertical="center"/>
    </xf>
    <xf numFmtId="165" fontId="0" fillId="5" borderId="0" xfId="0" applyNumberFormat="1" applyFill="1"/>
    <xf numFmtId="0" fontId="36" fillId="5" borderId="0" xfId="0" applyFont="1" applyFill="1"/>
    <xf numFmtId="0" fontId="33" fillId="5" borderId="0" xfId="0" applyFont="1" applyFill="1" applyAlignment="1">
      <alignment wrapText="1"/>
    </xf>
    <xf numFmtId="0" fontId="17" fillId="5" borderId="0" xfId="0" applyFont="1" applyFill="1" applyAlignment="1">
      <alignment horizontal="right" vertical="center"/>
    </xf>
    <xf numFmtId="2" fontId="20" fillId="5" borderId="0" xfId="0" applyNumberFormat="1" applyFont="1" applyFill="1" applyAlignment="1">
      <alignment horizontal="left" vertical="center"/>
    </xf>
    <xf numFmtId="0" fontId="31" fillId="5" borderId="0" xfId="4" applyFont="1" applyFill="1" applyBorder="1" applyAlignment="1">
      <alignment horizontal="left" vertical="center" wrapText="1"/>
    </xf>
    <xf numFmtId="0" fontId="37" fillId="5" borderId="0" xfId="0" applyFont="1" applyFill="1"/>
    <xf numFmtId="0" fontId="31" fillId="5" borderId="0" xfId="4" applyFont="1" applyFill="1" applyBorder="1" applyAlignment="1">
      <alignment horizontal="center" vertical="center"/>
    </xf>
    <xf numFmtId="0" fontId="38" fillId="3" borderId="0" xfId="0" applyFont="1" applyFill="1" applyAlignment="1">
      <alignment vertical="center"/>
    </xf>
    <xf numFmtId="0" fontId="2" fillId="3" borderId="0" xfId="0" applyFont="1" applyFill="1" applyAlignment="1">
      <alignment vertical="center"/>
    </xf>
    <xf numFmtId="0" fontId="39" fillId="3" borderId="0" xfId="0" applyFont="1" applyFill="1" applyAlignment="1">
      <alignment horizontal="center" vertical="center"/>
    </xf>
    <xf numFmtId="0" fontId="39" fillId="3" borderId="0" xfId="0" applyFont="1" applyFill="1" applyAlignment="1">
      <alignment vertical="center"/>
    </xf>
    <xf numFmtId="2" fontId="2" fillId="3" borderId="0" xfId="0" applyNumberFormat="1" applyFont="1" applyFill="1" applyAlignment="1">
      <alignment vertical="center"/>
    </xf>
    <xf numFmtId="0" fontId="40" fillId="10" borderId="0" xfId="4" applyFont="1" applyFill="1" applyBorder="1" applyAlignment="1">
      <alignment horizontal="center" vertical="center" wrapText="1"/>
    </xf>
    <xf numFmtId="0" fontId="7" fillId="10" borderId="0" xfId="0" applyFont="1" applyFill="1" applyAlignment="1">
      <alignment vertical="center"/>
    </xf>
    <xf numFmtId="0" fontId="27" fillId="3" borderId="0" xfId="0" applyFont="1" applyFill="1" applyAlignment="1">
      <alignment vertical="center"/>
    </xf>
    <xf numFmtId="0" fontId="7" fillId="10" borderId="0" xfId="0" applyFont="1" applyFill="1" applyAlignment="1">
      <alignment horizontal="center" vertical="center"/>
    </xf>
    <xf numFmtId="0" fontId="41" fillId="3" borderId="0" xfId="0" applyFont="1" applyFill="1" applyAlignment="1">
      <alignment horizontal="center" vertical="center"/>
    </xf>
    <xf numFmtId="0" fontId="41" fillId="3" borderId="0" xfId="0" applyFont="1" applyFill="1" applyAlignment="1">
      <alignment vertical="center"/>
    </xf>
    <xf numFmtId="0" fontId="0" fillId="10" borderId="0" xfId="0" quotePrefix="1" applyFill="1" applyAlignment="1">
      <alignment vertical="center"/>
    </xf>
    <xf numFmtId="0" fontId="7" fillId="0" borderId="0" xfId="0" applyFont="1" applyAlignment="1">
      <alignment horizontal="center" vertical="center"/>
    </xf>
    <xf numFmtId="0" fontId="7" fillId="10" borderId="0" xfId="0" applyFont="1" applyFill="1" applyAlignment="1">
      <alignment horizontal="center" vertical="center" wrapText="1"/>
    </xf>
    <xf numFmtId="0" fontId="43" fillId="0" borderId="0" xfId="0" applyFont="1" applyAlignment="1">
      <alignment vertical="center" wrapText="1"/>
    </xf>
    <xf numFmtId="0" fontId="3" fillId="0" borderId="0" xfId="0" applyFont="1" applyAlignment="1">
      <alignment vertical="center"/>
    </xf>
    <xf numFmtId="0" fontId="27" fillId="3" borderId="0" xfId="0" applyFont="1" applyFill="1" applyAlignment="1">
      <alignment horizontal="left" vertical="top" wrapText="1"/>
    </xf>
    <xf numFmtId="166" fontId="0" fillId="11" borderId="0" xfId="5" applyNumberFormat="1" applyFont="1" applyFill="1" applyAlignment="1">
      <alignment vertical="center"/>
    </xf>
    <xf numFmtId="43" fontId="0" fillId="11" borderId="0" xfId="5" applyFont="1" applyFill="1" applyAlignment="1">
      <alignment vertical="center"/>
    </xf>
    <xf numFmtId="166" fontId="0" fillId="3" borderId="0" xfId="5" applyNumberFormat="1" applyFont="1" applyFill="1" applyAlignment="1">
      <alignment vertical="center"/>
    </xf>
    <xf numFmtId="166" fontId="2" fillId="3" borderId="0" xfId="5" applyNumberFormat="1" applyFont="1" applyFill="1" applyAlignment="1">
      <alignment vertical="center"/>
    </xf>
    <xf numFmtId="166" fontId="27" fillId="3" borderId="0" xfId="5" applyNumberFormat="1" applyFont="1" applyFill="1" applyAlignment="1">
      <alignment vertical="center"/>
    </xf>
    <xf numFmtId="164" fontId="15" fillId="3" borderId="0" xfId="0" applyNumberFormat="1" applyFont="1" applyFill="1" applyAlignment="1">
      <alignment horizontal="left" vertical="top" wrapText="1"/>
    </xf>
    <xf numFmtId="0" fontId="46" fillId="12" borderId="0" xfId="0" applyFont="1" applyFill="1"/>
    <xf numFmtId="0" fontId="47" fillId="12" borderId="0" xfId="0" applyFont="1" applyFill="1"/>
    <xf numFmtId="3" fontId="25" fillId="9" borderId="11" xfId="2" applyNumberFormat="1" applyFont="1" applyFill="1" applyAlignment="1">
      <alignment horizontal="center" vertical="center"/>
    </xf>
    <xf numFmtId="0" fontId="15" fillId="6" borderId="4" xfId="0" applyFont="1" applyFill="1" applyBorder="1" applyAlignment="1">
      <alignment horizontal="center" vertical="center" wrapText="1"/>
    </xf>
    <xf numFmtId="2" fontId="49" fillId="5" borderId="0" xfId="0" applyNumberFormat="1" applyFont="1" applyFill="1" applyAlignment="1">
      <alignment horizontal="left" vertical="center"/>
    </xf>
    <xf numFmtId="2" fontId="49" fillId="5" borderId="0" xfId="0" applyNumberFormat="1" applyFont="1" applyFill="1" applyAlignment="1">
      <alignment horizontal="left" vertical="center" wrapText="1"/>
    </xf>
    <xf numFmtId="167" fontId="0" fillId="5" borderId="0" xfId="0" applyNumberFormat="1" applyFill="1"/>
    <xf numFmtId="9" fontId="0" fillId="5" borderId="0" xfId="1" applyFont="1" applyFill="1"/>
    <xf numFmtId="0" fontId="50" fillId="5" borderId="17" xfId="0" applyFont="1" applyFill="1" applyBorder="1" applyAlignment="1">
      <alignment horizontal="center" vertical="center"/>
    </xf>
    <xf numFmtId="0" fontId="52" fillId="5" borderId="0" xfId="0" applyFont="1" applyFill="1" applyAlignment="1">
      <alignment horizontal="left" wrapText="1"/>
    </xf>
    <xf numFmtId="0" fontId="53" fillId="5" borderId="0" xfId="0" applyFont="1" applyFill="1" applyAlignment="1">
      <alignment horizontal="left" wrapText="1"/>
    </xf>
    <xf numFmtId="0" fontId="53" fillId="5" borderId="0" xfId="0" applyFont="1" applyFill="1" applyAlignment="1">
      <alignment horizontal="center" vertical="center" wrapText="1"/>
    </xf>
    <xf numFmtId="0" fontId="34" fillId="5" borderId="0" xfId="0" applyFont="1" applyFill="1" applyAlignment="1">
      <alignment horizontal="right"/>
    </xf>
    <xf numFmtId="168" fontId="0" fillId="11" borderId="0" xfId="5" applyNumberFormat="1" applyFont="1" applyFill="1" applyAlignment="1">
      <alignment vertical="center"/>
    </xf>
    <xf numFmtId="9" fontId="0" fillId="5" borderId="0" xfId="1" applyFont="1" applyFill="1" applyBorder="1"/>
    <xf numFmtId="9" fontId="0" fillId="5" borderId="14" xfId="1" applyFont="1" applyFill="1" applyBorder="1"/>
    <xf numFmtId="0" fontId="19" fillId="5" borderId="2" xfId="0" applyFont="1" applyFill="1" applyBorder="1" applyAlignment="1">
      <alignment vertical="center"/>
    </xf>
    <xf numFmtId="2" fontId="0" fillId="5" borderId="1" xfId="0" applyNumberFormat="1" applyFill="1" applyBorder="1"/>
    <xf numFmtId="2" fontId="0" fillId="5" borderId="3" xfId="0" applyNumberFormat="1" applyFill="1" applyBorder="1"/>
    <xf numFmtId="2" fontId="0" fillId="5" borderId="6" xfId="0" applyNumberFormat="1" applyFill="1" applyBorder="1"/>
    <xf numFmtId="2" fontId="0" fillId="5" borderId="15" xfId="0" applyNumberFormat="1" applyFill="1" applyBorder="1"/>
    <xf numFmtId="164" fontId="15" fillId="3" borderId="0" xfId="0" applyNumberFormat="1" applyFont="1" applyFill="1" applyAlignment="1">
      <alignment horizontal="left" vertical="top" wrapText="1"/>
    </xf>
    <xf numFmtId="0" fontId="48" fillId="3" borderId="0" xfId="2" applyFont="1" applyFill="1" applyBorder="1" applyAlignment="1">
      <alignment horizontal="left" vertical="center" wrapText="1"/>
    </xf>
    <xf numFmtId="2" fontId="20" fillId="5" borderId="0" xfId="0" applyNumberFormat="1" applyFont="1" applyFill="1" applyAlignment="1">
      <alignment horizontal="left" vertical="top" wrapText="1"/>
    </xf>
    <xf numFmtId="0" fontId="42" fillId="0" borderId="0" xfId="0" applyFont="1" applyAlignment="1">
      <alignment horizontal="left" vertical="center"/>
    </xf>
    <xf numFmtId="0" fontId="8" fillId="4" borderId="0" xfId="0" applyFont="1" applyFill="1" applyAlignment="1">
      <alignment horizontal="center" vertical="center" textRotation="90"/>
    </xf>
    <xf numFmtId="0" fontId="16" fillId="4" borderId="0" xfId="0" applyFont="1" applyFill="1" applyAlignment="1">
      <alignment horizontal="center" vertical="center" textRotation="90"/>
    </xf>
    <xf numFmtId="0" fontId="44" fillId="5" borderId="0" xfId="0" applyFont="1" applyFill="1" applyAlignment="1">
      <alignment horizontal="left" vertical="center" wrapText="1"/>
    </xf>
    <xf numFmtId="0" fontId="14" fillId="3" borderId="0" xfId="0" applyFont="1" applyFill="1" applyAlignment="1">
      <alignment horizontal="left"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3" borderId="0" xfId="0" applyFont="1" applyFill="1" applyAlignment="1">
      <alignment horizontal="left" vertical="center" wrapText="1"/>
    </xf>
    <xf numFmtId="0" fontId="27" fillId="3" borderId="12" xfId="0" applyFont="1" applyFill="1" applyBorder="1" applyAlignment="1">
      <alignment horizontal="center" vertical="top" wrapText="1"/>
    </xf>
    <xf numFmtId="0" fontId="27" fillId="3" borderId="0" xfId="0" applyFont="1" applyFill="1" applyAlignment="1">
      <alignment horizontal="center" vertical="top" wrapText="1"/>
    </xf>
  </cellXfs>
  <cellStyles count="6">
    <cellStyle name="Comma" xfId="5" builtinId="3"/>
    <cellStyle name="Hyperlink" xfId="3" builtinId="8"/>
    <cellStyle name="Hyperlink 2" xfId="4" xr:uid="{1D8CD6BA-FFBA-4E76-A685-A8C59C7216B9}"/>
    <cellStyle name="Input" xfId="2" builtinId="20"/>
    <cellStyle name="Normal" xfId="0" builtinId="0"/>
    <cellStyle name="Percent" xfId="1" builtinId="5"/>
  </cellStyles>
  <dxfs count="10">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Fuel</a:t>
            </a:r>
            <a:r>
              <a:rPr lang="en-US" sz="1200" baseline="0"/>
              <a:t> and OPS costs plus FuelEU and ETS</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336486012386484E-2"/>
          <c:y val="8.8895915318744911E-2"/>
          <c:w val="0.908045946748269"/>
          <c:h val="0.73180855813168022"/>
        </c:manualLayout>
      </c:layout>
      <c:barChart>
        <c:barDir val="col"/>
        <c:grouping val="stacked"/>
        <c:varyColors val="0"/>
        <c:ser>
          <c:idx val="0"/>
          <c:order val="0"/>
          <c:tx>
            <c:strRef>
              <c:f>'OPS Calculator'!$B$107</c:f>
              <c:strCache>
                <c:ptCount val="1"/>
                <c:pt idx="0">
                  <c:v>Fuel Costs</c:v>
                </c:pt>
              </c:strCache>
            </c:strRef>
          </c:tx>
          <c:spPr>
            <a:solidFill>
              <a:schemeClr val="tx1">
                <a:lumMod val="65000"/>
                <a:lumOff val="35000"/>
              </a:schemeClr>
            </a:solidFill>
            <a:ln>
              <a:noFill/>
            </a:ln>
            <a:effectLst/>
          </c:spPr>
          <c:invertIfNegative val="0"/>
          <c:dLbls>
            <c:dLbl>
              <c:idx val="0"/>
              <c:layout>
                <c:manualLayout>
                  <c:x val="0.338558105154100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9E-4E7F-AB5A-FC21C74B0729}"/>
                </c:ext>
              </c:extLst>
            </c:dLbl>
            <c:spPr>
              <a:solidFill>
                <a:sysClr val="windowText" lastClr="000000">
                  <a:lumMod val="50000"/>
                  <a:lumOff val="5000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'OPS Calculator'!$E$107</c:f>
              <c:numCache>
                <c:formatCode>[$$-409]#,##0</c:formatCode>
                <c:ptCount val="1"/>
                <c:pt idx="0">
                  <c:v>602520.49180327868</c:v>
                </c:pt>
              </c:numCache>
            </c:numRef>
          </c:val>
          <c:extLst>
            <c:ext xmlns:c16="http://schemas.microsoft.com/office/drawing/2014/chart" uri="{C3380CC4-5D6E-409C-BE32-E72D297353CC}">
              <c16:uniqueId val="{00000001-729E-4E7F-AB5A-FC21C74B0729}"/>
            </c:ext>
          </c:extLst>
        </c:ser>
        <c:ser>
          <c:idx val="2"/>
          <c:order val="1"/>
          <c:tx>
            <c:strRef>
              <c:f>'OPS Calculator'!$B$109</c:f>
              <c:strCache>
                <c:ptCount val="1"/>
                <c:pt idx="0">
                  <c:v>OPS Power Costs</c:v>
                </c:pt>
              </c:strCache>
            </c:strRef>
          </c:tx>
          <c:spPr>
            <a:solidFill>
              <a:srgbClr val="B8E0C2"/>
            </a:solidFill>
            <a:ln>
              <a:noFill/>
            </a:ln>
            <a:effectLst/>
          </c:spPr>
          <c:invertIfNegative val="0"/>
          <c:dLbls>
            <c:dLbl>
              <c:idx val="0"/>
              <c:layout>
                <c:manualLayout>
                  <c:x val="-0.31765945668779788"/>
                  <c:y val="1.8004505379377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9E-4E7F-AB5A-FC21C74B0729}"/>
                </c:ext>
              </c:extLst>
            </c:dLbl>
            <c:spPr>
              <a:solidFill>
                <a:srgbClr val="B8E0C2"/>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'OPS Calculator'!$E$109</c:f>
              <c:numCache>
                <c:formatCode>[$$-409]#,##0</c:formatCode>
                <c:ptCount val="1"/>
                <c:pt idx="0">
                  <c:v>29748.942182400006</c:v>
                </c:pt>
              </c:numCache>
            </c:numRef>
          </c:val>
          <c:extLst>
            <c:ext xmlns:c16="http://schemas.microsoft.com/office/drawing/2014/chart" uri="{C3380CC4-5D6E-409C-BE32-E72D297353CC}">
              <c16:uniqueId val="{00000003-729E-4E7F-AB5A-FC21C74B0729}"/>
            </c:ext>
          </c:extLst>
        </c:ser>
        <c:ser>
          <c:idx val="1"/>
          <c:order val="2"/>
          <c:tx>
            <c:strRef>
              <c:f>'OPS Calculator'!$B$108</c:f>
              <c:strCache>
                <c:ptCount val="1"/>
                <c:pt idx="0">
                  <c:v>ETS Costs</c:v>
                </c:pt>
              </c:strCache>
            </c:strRef>
          </c:tx>
          <c:spPr>
            <a:solidFill>
              <a:srgbClr val="A93131"/>
            </a:solidFill>
            <a:ln>
              <a:noFill/>
            </a:ln>
            <a:effectLst/>
          </c:spPr>
          <c:invertIfNegative val="0"/>
          <c:dLbls>
            <c:dLbl>
              <c:idx val="0"/>
              <c:layout>
                <c:manualLayout>
                  <c:x val="0.30512026760801642"/>
                  <c:y val="6.00150179312587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9E-4E7F-AB5A-FC21C74B0729}"/>
                </c:ext>
              </c:extLst>
            </c:dLbl>
            <c:spPr>
              <a:solidFill>
                <a:srgbClr val="A93131"/>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'OPS Calculator'!$E$108</c:f>
              <c:numCache>
                <c:formatCode>[$$-409]#,##0</c:formatCode>
                <c:ptCount val="1"/>
                <c:pt idx="0">
                  <c:v>263619.08020000003</c:v>
                </c:pt>
              </c:numCache>
            </c:numRef>
          </c:val>
          <c:extLst>
            <c:ext xmlns:c16="http://schemas.microsoft.com/office/drawing/2014/chart" uri="{C3380CC4-5D6E-409C-BE32-E72D297353CC}">
              <c16:uniqueId val="{00000005-729E-4E7F-AB5A-FC21C74B0729}"/>
            </c:ext>
          </c:extLst>
        </c:ser>
        <c:ser>
          <c:idx val="3"/>
          <c:order val="3"/>
          <c:tx>
            <c:strRef>
              <c:f>'OPS Calculator'!$B$110</c:f>
              <c:strCache>
                <c:ptCount val="1"/>
                <c:pt idx="0">
                  <c:v>FuelEU Penalty</c:v>
                </c:pt>
              </c:strCache>
            </c:strRef>
          </c:tx>
          <c:spPr>
            <a:solidFill>
              <a:srgbClr val="FFD9D9"/>
            </a:solidFill>
            <a:ln>
              <a:noFill/>
            </a:ln>
            <a:effectLst/>
          </c:spPr>
          <c:invertIfNegative val="0"/>
          <c:dLbls>
            <c:dLbl>
              <c:idx val="0"/>
              <c:layout>
                <c:manualLayout>
                  <c:x val="-0.31347972699453741"/>
                  <c:y val="6.00150179312587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9E-4E7F-AB5A-FC21C74B0729}"/>
                </c:ext>
              </c:extLst>
            </c:dLbl>
            <c:spPr>
              <a:solidFill>
                <a:srgbClr val="FFD9D9"/>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'OPS Calculator'!$E$110</c:f>
              <c:numCache>
                <c:formatCode>[$$-409]#,##0</c:formatCode>
                <c:ptCount val="1"/>
                <c:pt idx="0">
                  <c:v>4945.5246312595109</c:v>
                </c:pt>
              </c:numCache>
            </c:numRef>
          </c:val>
          <c:extLst>
            <c:ext xmlns:c16="http://schemas.microsoft.com/office/drawing/2014/chart" uri="{C3380CC4-5D6E-409C-BE32-E72D297353CC}">
              <c16:uniqueId val="{00000007-729E-4E7F-AB5A-FC21C74B0729}"/>
            </c:ext>
          </c:extLst>
        </c:ser>
        <c:dLbls>
          <c:showLegendKey val="0"/>
          <c:showVal val="0"/>
          <c:showCatName val="0"/>
          <c:showSerName val="0"/>
          <c:showPercent val="0"/>
          <c:showBubbleSize val="0"/>
        </c:dLbls>
        <c:gapWidth val="150"/>
        <c:overlap val="100"/>
        <c:axId val="1400460704"/>
        <c:axId val="1400462144"/>
      </c:barChart>
      <c:catAx>
        <c:axId val="1400460704"/>
        <c:scaling>
          <c:orientation val="minMax"/>
        </c:scaling>
        <c:delete val="1"/>
        <c:axPos val="b"/>
        <c:numFmt formatCode="General" sourceLinked="1"/>
        <c:majorTickMark val="none"/>
        <c:minorTickMark val="none"/>
        <c:tickLblPos val="nextTo"/>
        <c:crossAx val="1400462144"/>
        <c:crosses val="autoZero"/>
        <c:auto val="1"/>
        <c:lblAlgn val="ctr"/>
        <c:lblOffset val="100"/>
        <c:noMultiLvlLbl val="0"/>
      </c:catAx>
      <c:valAx>
        <c:axId val="1400462144"/>
        <c:scaling>
          <c:orientation val="minMax"/>
        </c:scaling>
        <c:delete val="1"/>
        <c:axPos val="l"/>
        <c:numFmt formatCode="[$$-409]#,##0" sourceLinked="1"/>
        <c:majorTickMark val="none"/>
        <c:minorTickMark val="none"/>
        <c:tickLblPos val="nextTo"/>
        <c:crossAx val="1400460704"/>
        <c:crosses val="autoZero"/>
        <c:crossBetween val="between"/>
      </c:valAx>
      <c:spPr>
        <a:noFill/>
        <a:ln>
          <a:noFill/>
        </a:ln>
        <a:effectLst/>
      </c:spPr>
    </c:plotArea>
    <c:legend>
      <c:legendPos val="b"/>
      <c:layout>
        <c:manualLayout>
          <c:xMode val="edge"/>
          <c:yMode val="edge"/>
          <c:x val="5.765960649265061E-2"/>
          <c:y val="0.83894268935146643"/>
          <c:w val="0.91396016050151618"/>
          <c:h val="0.12683355979452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567230</xdr:colOff>
      <xdr:row>115</xdr:row>
      <xdr:rowOff>536246</xdr:rowOff>
    </xdr:from>
    <xdr:to>
      <xdr:col>2</xdr:col>
      <xdr:colOff>1116505</xdr:colOff>
      <xdr:row>115</xdr:row>
      <xdr:rowOff>809296</xdr:rowOff>
    </xdr:to>
    <xdr:sp macro="" textlink="">
      <xdr:nvSpPr>
        <xdr:cNvPr id="2" name="Arrow: Right 1">
          <a:extLst>
            <a:ext uri="{FF2B5EF4-FFF2-40B4-BE49-F238E27FC236}">
              <a16:creationId xmlns:a16="http://schemas.microsoft.com/office/drawing/2014/main" id="{902CEFC6-9EF5-44D1-8A34-5A76944A7ABD}"/>
            </a:ext>
          </a:extLst>
        </xdr:cNvPr>
        <xdr:cNvSpPr/>
      </xdr:nvSpPr>
      <xdr:spPr>
        <a:xfrm>
          <a:off x="4316905" y="25139321"/>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581025</xdr:colOff>
      <xdr:row>115</xdr:row>
      <xdr:rowOff>514350</xdr:rowOff>
    </xdr:from>
    <xdr:to>
      <xdr:col>4</xdr:col>
      <xdr:colOff>1130300</xdr:colOff>
      <xdr:row>115</xdr:row>
      <xdr:rowOff>787400</xdr:rowOff>
    </xdr:to>
    <xdr:sp macro="" textlink="">
      <xdr:nvSpPr>
        <xdr:cNvPr id="3" name="Arrow: Right 2">
          <a:extLst>
            <a:ext uri="{FF2B5EF4-FFF2-40B4-BE49-F238E27FC236}">
              <a16:creationId xmlns:a16="http://schemas.microsoft.com/office/drawing/2014/main" id="{1EC2B743-F0CF-4D79-84AE-0EF85CA29276}"/>
            </a:ext>
          </a:extLst>
        </xdr:cNvPr>
        <xdr:cNvSpPr/>
      </xdr:nvSpPr>
      <xdr:spPr>
        <a:xfrm>
          <a:off x="7826375" y="25136475"/>
          <a:ext cx="47942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355413</xdr:colOff>
      <xdr:row>52</xdr:row>
      <xdr:rowOff>179293</xdr:rowOff>
    </xdr:from>
    <xdr:to>
      <xdr:col>5</xdr:col>
      <xdr:colOff>1352550</xdr:colOff>
      <xdr:row>64</xdr:row>
      <xdr:rowOff>150810</xdr:rowOff>
    </xdr:to>
    <xdr:graphicFrame macro="">
      <xdr:nvGraphicFramePr>
        <xdr:cNvPr id="4" name="Chart 3">
          <a:extLst>
            <a:ext uri="{FF2B5EF4-FFF2-40B4-BE49-F238E27FC236}">
              <a16:creationId xmlns:a16="http://schemas.microsoft.com/office/drawing/2014/main" id="{7BBF9551-91B7-405C-9F2F-F3C81C0359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Participants/Hapag%20Lloyd/HL%20Model/Hapag%20Lloyd%20FuelEU%20Impact%20Model.xlsx" TargetMode="External"/><Relationship Id="rId1" Type="http://schemas.openxmlformats.org/officeDocument/2006/relationships/externalLinkPath" Target="file:///\\sites\40033\Delte%2520dokumenter\General\1%2520Working%2520documents\2%2520Value%2520Prop%2520-%2520Case%2520study%2520data%2520and%2520modeling\Participants\Hapag%2520Lloyd\HL%2520Model\Hapag%2520Lloyd%2520FuelEU%2520Impact%25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Global%20Model/Master%20Pooling%20Model%20v7.xlsm" TargetMode="External"/><Relationship Id="rId1" Type="http://schemas.openxmlformats.org/officeDocument/2006/relationships/externalLinkPath" Target="/sites/40033/Delte%20dokumenter/General/1%20Working%20documents/2%20Value%20Prop%20-%20Case%20study%20data%20and%20modeling/Global%20Model/Master%20Pooling%20Model%20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L Results"/>
      <sheetName val="FuelCost"/>
      <sheetName val="Results"/>
      <sheetName val="RouteAssessment"/>
      <sheetName val="FuelEUCost"/>
      <sheetName val="FuelEUPoolingv2"/>
      <sheetName val="ETS"/>
      <sheetName val="IRACredits"/>
      <sheetName val="GHG Factors"/>
      <sheetName val="GHG Factors (2)"/>
      <sheetName val="Multiplier Analysis"/>
      <sheetName val="ETS Analysis"/>
      <sheetName val="Scratch"/>
      <sheetName val="Voyages"/>
      <sheetName val="EnergyTransition"/>
      <sheetName val="Glossary"/>
      <sheetName val="Drop-Downs"/>
      <sheetName val="FuelDefinitions"/>
      <sheetName val="Questions and ToDo"/>
      <sheetName val="Gut Check"/>
      <sheetName val="Interaction"/>
      <sheetName val="FROM TMA"/>
      <sheetName val="OLDFuelEUPooling"/>
      <sheetName val="OLD Ammonia Analysis"/>
      <sheetName val="OLD GHG Factors"/>
      <sheetName val="OLD_CAPEX Calculation"/>
    </sheetNames>
    <sheetDataSet>
      <sheetData sheetId="0"/>
      <sheetData sheetId="1">
        <row r="6">
          <cell r="D6" t="str">
            <v>Lookup</v>
          </cell>
        </row>
      </sheetData>
      <sheetData sheetId="2">
        <row r="26">
          <cell r="C26" t="str">
            <v>Europe</v>
          </cell>
        </row>
      </sheetData>
      <sheetData sheetId="3">
        <row r="12">
          <cell r="Q12">
            <v>1.1906000000000001</v>
          </cell>
        </row>
      </sheetData>
      <sheetData sheetId="4"/>
      <sheetData sheetId="5"/>
      <sheetData sheetId="6"/>
      <sheetData sheetId="7"/>
      <sheetData sheetId="8">
        <row r="7">
          <cell r="C7" t="str">
            <v>Fuel</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S Calculator"/>
      <sheetName val="Pool Value Tool"/>
      <sheetName val="Read Me"/>
      <sheetName val="Inputs"/>
      <sheetName val="Notes and Questions"/>
      <sheetName val="Summary Output"/>
      <sheetName val="Back End -&gt;"/>
      <sheetName val="Calculation"/>
      <sheetName val="Assumptions"/>
      <sheetName val="GHG Emissions Factors"/>
      <sheetName val="Pooling Methodology"/>
      <sheetName val="Fuel Cost"/>
      <sheetName val="Vessel Profiles"/>
      <sheetName val="Penalty"/>
      <sheetName val="Biomethane (Acc.)"/>
      <sheetName val="OPS Sources"/>
      <sheetName val="Drop Downs"/>
    </sheetNames>
    <sheetDataSet>
      <sheetData sheetId="0">
        <row r="107">
          <cell r="B107" t="str">
            <v>Fuel Costs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PDF/?uri=CELEX:32023R1805" TargetMode="External"/><Relationship Id="rId13" Type="http://schemas.openxmlformats.org/officeDocument/2006/relationships/hyperlink" Target="https://eur-lex.europa.eu/legal-content/EN/TXT/PDF/?uri=CELEX:32023R1805" TargetMode="External"/><Relationship Id="rId18" Type="http://schemas.openxmlformats.org/officeDocument/2006/relationships/hyperlink" Target="https://statics.teams.cdn.office.net/evergreen-assets/safelinks/1/atp-safelinks.html" TargetMode="External"/><Relationship Id="rId3" Type="http://schemas.openxmlformats.org/officeDocument/2006/relationships/hyperlink" Target="https://www.lr.org/en/knowledge/research-reports/techno-economic-assessment-of-zero-carbon-fuels/" TargetMode="External"/><Relationship Id="rId21" Type="http://schemas.openxmlformats.org/officeDocument/2006/relationships/hyperlink" Target="https://op.europa.eu/en/publication-detail/-/publication/96c2ca82-e85e-11eb-93a8-01aa75ed71a1/language-en" TargetMode="External"/><Relationship Id="rId7" Type="http://schemas.openxmlformats.org/officeDocument/2006/relationships/hyperlink" Target="https://eur-lex.europa.eu/legal-content/EN/TXT/PDF/?uri=CELEX:32023R1805" TargetMode="External"/><Relationship Id="rId12" Type="http://schemas.openxmlformats.org/officeDocument/2006/relationships/hyperlink" Target="https://ec.europa.eu/info/law/better-regulation/have-your-say/initiatives/13865-Shipping-emissions-rules-on-monitoring-reporting_en" TargetMode="External"/><Relationship Id="rId17" Type="http://schemas.openxmlformats.org/officeDocument/2006/relationships/hyperlink" Target="https://www.zerocarbonshipping.com/news/explainer-pooling-and-the-business-case-for-green-shipping/" TargetMode="External"/><Relationship Id="rId2" Type="http://schemas.openxmlformats.org/officeDocument/2006/relationships/hyperlink" Target="https://www.sciencedirect.com/science/article/pii/S0306261921003962?via%3Dihub" TargetMode="External"/><Relationship Id="rId16" Type="http://schemas.openxmlformats.org/officeDocument/2006/relationships/hyperlink" Target="https://www.zerocarbonshipping.com/cost-calculator/" TargetMode="External"/><Relationship Id="rId20" Type="http://schemas.openxmlformats.org/officeDocument/2006/relationships/hyperlink" Target="https://op.europa.eu/en/publication-detail/-/publication/96c2ca82-e85e-11eb-93a8-01aa75ed71a1/language-en" TargetMode="External"/><Relationship Id="rId1" Type="http://schemas.openxmlformats.org/officeDocument/2006/relationships/hyperlink" Target="https://eur-lex.europa.eu/legal-content/EN/TXT/PDF/?uri=CELEX:32023R1805" TargetMode="External"/><Relationship Id="rId6" Type="http://schemas.openxmlformats.org/officeDocument/2006/relationships/hyperlink" Target="https://eur-lex.europa.eu/legal-content/EN/TXT/PDF/?uri=CELEX:32023R1805" TargetMode="External"/><Relationship Id="rId11" Type="http://schemas.openxmlformats.org/officeDocument/2006/relationships/hyperlink" Target="https://eur-lex.europa.eu/legal-content/EN/TXT/PDF/?uri=CELEX:32023R1805" TargetMode="External"/><Relationship Id="rId24" Type="http://schemas.openxmlformats.org/officeDocument/2006/relationships/drawing" Target="../drawings/drawing1.xml"/><Relationship Id="rId5" Type="http://schemas.openxmlformats.org/officeDocument/2006/relationships/hyperlink" Target="https://eur-lex.europa.eu/legal-content/EN/TXT/PDF/?uri=CELEX:32023R1805" TargetMode="External"/><Relationship Id="rId15" Type="http://schemas.openxmlformats.org/officeDocument/2006/relationships/hyperlink" Target="https://www.sciencedirect.com/science/article/pii/S0306261921003962?via%3Dihub" TargetMode="External"/><Relationship Id="rId23" Type="http://schemas.openxmlformats.org/officeDocument/2006/relationships/hyperlink" Target="https://www.zerocarbonshipping.com/cost-calculator/?s=0" TargetMode="External"/><Relationship Id="rId10" Type="http://schemas.openxmlformats.org/officeDocument/2006/relationships/hyperlink" Target="https://www.ecb.europa.eu/stats/policy_and_exchange_rates/euro_reference_exchange_rates/html/eurofxref-graph-usd.en.html" TargetMode="External"/><Relationship Id="rId19" Type="http://schemas.openxmlformats.org/officeDocument/2006/relationships/hyperlink" Target="https://data.ecb.europa.eu/data/datasets/ICP/ICP.M.U2.N.000000.4.ANR?chart_props=W3sibm9kZUlkIjoiNDU3ODYxIiwicHJvcGVydGllcyI6W3siY29sb3JIZXgiOiIiLCJjb2xvclR5cGUiOiIiLCJjaGFydFR5cGUiOiJsaW5lY2hhcnQiLCJsaW5lU3R5bGUiOiJTb2xpZCIsImxpbmVXaWR0aCI6IjEuNSIsImF4aXNQb3NpdGlvbiI6ImxlZnQiLCJvYnNlcnZhdGlvblZhbHVlIjpmYWxzZSwiZGF0ZXMiOlsiMjAxNC0xMi0zMVQyMzowMDowMC4wMDBaIiwiMjAyNC0wMy0zMFQyMzowMDowMC4wMDBaIl0sImlzVGRhdGEiOmZhbHNlLCJtb2RpZmllZFVuaXRUeXBlIjoiIiwieWVhciI6ImRhdGV3aXNlIiwic3RhcnREYXRlIjoiMjAxNS0wMS0wMSIsImVuZERhdGUiOiIyMDI0LTAzLTMxIiwic2V0RGF0ZSI6dHJ1ZSwic2hvd1RhYmxlRGF0YSI6ZmFsc2UsImNoYW5nZU1vZGUiOmZhbHNlLCJzaG93TWVudVN0eWxlQ2hhcnQiOmZhbHNlLCJkaXNwbGF5TW9iaWxlQ2hhcnQiOnRydWUsInNjcmVlblNpemUiOiJtYXgiLCJzY3JlZW5XaWR0aCI6MTI4MCwic2hvd1RkYXRhIjpmYWxzZSwidHJhbnNmb3JtZWRGcmVxdWVuY3kiOiJub25lIiwidHJhbnNmb3JtZWRVbml0Ijoibm9uZSIsImZyZXF1ZW5jeSI6Im5vbmUiLCJ1bml0Ijoibm9uZSIsIm1vZGlmaWVkIjoiZmFsc2UiLCJzZXJpZXNLZXkiOiJtb250aGx5Iiwic2hvd3RhYmxlU3RhdGVCZWZvcmVNYXhTY3JlZW4iOmZhbHNlLCJpc2RhdGFjb21wYXJpc29uIjpmYWxzZSwic2VyaWVzRnJlcXVlbmN5IjoibW9udGhseSIsImludGlhbFNlcmllc0ZyZXF1ZW5jeSI6Im1vbnRobHkiLCJtZXRhZGF0YURlY2ltYWwiOiIxIiwiaXNUYWJsZVNvcnRlZCI6ZmFsc2UsImlzWWVhcmx5VGRhdGEiOmZhbHNlLCJyZXNwb25zZURhdGFFbmREYXRlIjoiMjAyNC0wMy0zMSIsImlzaW5pdGlhbENoYXJ0RGF0YSI6dHJ1ZSwiaXNEYXRlc0Zyb21EYXRlUGlja2VyIjp0cnVlLCJkYXRlUGlja2VyRW5kRGF0ZSI6IjIwMjQtMDMtMzEiLCJpc0RhdGVQaWNrZXJFbmREYXRlIjp0cnVlLCJzZXJpZXNrZXlTZXQiOiIiLCJkYXRhc2V0SWQiOiIxOSIsImlzQ2FsbGJhY2siOmZhbHNlLCJpc1NsaWRlclRkYXRhIjp0cnVlLCJpc1NsaWRlckRhdGEiOnRydWUsImlzSW5pdGlhbENoYXJ0RGF0YUZyb21HcmFwaCI6dHJ1ZSwiY2hhcnRTZXJpZXNLZXkiOiJJQ1AuTS5VMi5OLjAwMDAwMC40LkFOUiIsInR5cGVPZiI6IiJ9XX1d" TargetMode="External"/><Relationship Id="rId4" Type="http://schemas.openxmlformats.org/officeDocument/2006/relationships/hyperlink" Target="https://eur-lex.europa.eu/legal-content/EN/TXT/PDF/?uri=CELEX:32023R1805" TargetMode="External"/><Relationship Id="rId9" Type="http://schemas.openxmlformats.org/officeDocument/2006/relationships/hyperlink" Target="https://eur-lex.europa.eu/legal-content/EN/TXT/PDF/?uri=CELEX:32023R1805" TargetMode="External"/><Relationship Id="rId14" Type="http://schemas.openxmlformats.org/officeDocument/2006/relationships/hyperlink" Target="https://www.lr.org/en/knowledge/research-reports/techno-economic-assessment-of-zero-carbon-fuels/" TargetMode="External"/><Relationship Id="rId22" Type="http://schemas.openxmlformats.org/officeDocument/2006/relationships/hyperlink" Target="https://op.europa.eu/en/publication-detail/-/publication/96c2ca82-e85e-11eb-93a8-01aa75ed71a1/language-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2B7D-A8D8-4B63-B2F7-B7E3614E6667}">
  <sheetPr>
    <tabColor rgb="FF4C7870"/>
  </sheetPr>
  <dimension ref="A1:W117"/>
  <sheetViews>
    <sheetView showGridLines="0" tabSelected="1" topLeftCell="A3" zoomScale="85" zoomScaleNormal="85" workbookViewId="0">
      <selection activeCell="E100" sqref="E100"/>
    </sheetView>
  </sheetViews>
  <sheetFormatPr defaultRowHeight="14.5" x14ac:dyDescent="0.35"/>
  <cols>
    <col min="1" max="1" width="5.54296875" customWidth="1"/>
    <col min="2" max="2" width="48.1796875" customWidth="1"/>
    <col min="3" max="3" width="30.81640625" style="84" customWidth="1"/>
    <col min="4" max="4" width="19.26953125" customWidth="1"/>
    <col min="5" max="5" width="15.1796875" customWidth="1"/>
    <col min="6" max="6" width="26.54296875" customWidth="1"/>
    <col min="8" max="8" width="6.54296875" customWidth="1"/>
    <col min="9" max="9" width="11.54296875" customWidth="1"/>
    <col min="10" max="10" width="13.54296875" customWidth="1"/>
    <col min="11" max="11" width="16.1796875" customWidth="1"/>
    <col min="12" max="12" width="14.54296875" customWidth="1"/>
    <col min="13" max="19" width="13.54296875" customWidth="1"/>
    <col min="21" max="24" width="8.7265625" customWidth="1"/>
  </cols>
  <sheetData>
    <row r="1" spans="1:23" ht="22" customHeight="1" x14ac:dyDescent="0.35">
      <c r="A1" s="1"/>
      <c r="B1" s="2" t="s">
        <v>0</v>
      </c>
      <c r="C1" s="3"/>
      <c r="D1" s="1"/>
      <c r="E1" s="1"/>
      <c r="F1" s="1"/>
      <c r="G1" s="1"/>
      <c r="H1" s="1"/>
      <c r="I1" s="1"/>
      <c r="J1" s="1"/>
      <c r="K1" s="1"/>
      <c r="L1" s="1"/>
      <c r="M1" s="1"/>
      <c r="N1" s="1"/>
      <c r="O1" s="1"/>
      <c r="P1" s="1"/>
      <c r="Q1" s="1"/>
      <c r="R1" s="1"/>
      <c r="S1" s="1"/>
      <c r="T1" s="1"/>
      <c r="U1" s="1"/>
    </row>
    <row r="2" spans="1:23" ht="10.5" customHeight="1" x14ac:dyDescent="0.35">
      <c r="A2" s="4"/>
      <c r="B2" s="4"/>
      <c r="C2" s="4"/>
      <c r="D2" s="4"/>
      <c r="E2" s="4"/>
      <c r="F2" s="4"/>
      <c r="G2" s="120" t="s">
        <v>1</v>
      </c>
      <c r="H2" s="6"/>
      <c r="I2" s="6"/>
      <c r="J2" s="6"/>
      <c r="K2" s="6"/>
      <c r="L2" s="6"/>
      <c r="M2" s="6"/>
      <c r="N2" s="6"/>
      <c r="O2" s="6"/>
      <c r="P2" s="6"/>
      <c r="Q2" s="6"/>
      <c r="R2" s="6"/>
      <c r="S2" s="6"/>
      <c r="T2" s="6"/>
      <c r="U2" s="6"/>
    </row>
    <row r="3" spans="1:23" ht="29.15" customHeight="1" x14ac:dyDescent="0.55000000000000004">
      <c r="A3" s="7"/>
      <c r="B3" s="8" t="s">
        <v>2</v>
      </c>
      <c r="C3" s="7"/>
      <c r="D3" s="7"/>
      <c r="E3" s="7"/>
      <c r="F3" s="7"/>
      <c r="G3" s="120"/>
      <c r="H3" s="6"/>
      <c r="I3" s="9" t="s">
        <v>3</v>
      </c>
      <c r="J3" s="6"/>
      <c r="K3" s="6"/>
      <c r="L3" s="6"/>
      <c r="M3" s="6"/>
      <c r="N3" s="6"/>
      <c r="O3" s="6"/>
      <c r="P3" s="6"/>
      <c r="Q3" s="6"/>
      <c r="R3" s="6"/>
      <c r="S3" s="6"/>
      <c r="T3" s="6"/>
      <c r="U3" s="6"/>
    </row>
    <row r="4" spans="1:23" ht="52" customHeight="1" x14ac:dyDescent="0.35">
      <c r="A4" s="10"/>
      <c r="B4" s="122" t="s">
        <v>4</v>
      </c>
      <c r="C4" s="122"/>
      <c r="D4" s="122"/>
      <c r="E4" s="122"/>
      <c r="F4" s="122"/>
      <c r="G4" s="120"/>
      <c r="H4" s="6"/>
      <c r="I4" s="11" t="s">
        <v>5</v>
      </c>
      <c r="J4" s="12"/>
      <c r="K4" s="12"/>
      <c r="L4" s="12"/>
      <c r="M4" s="12"/>
      <c r="N4" s="12"/>
      <c r="O4" s="12"/>
      <c r="P4" s="6"/>
      <c r="Q4" s="6"/>
      <c r="R4" s="6"/>
      <c r="S4" s="6"/>
      <c r="T4" s="6"/>
      <c r="U4" s="6"/>
    </row>
    <row r="5" spans="1:23" ht="32.5" customHeight="1" x14ac:dyDescent="0.35">
      <c r="A5" s="4"/>
      <c r="B5" s="123" t="s">
        <v>173</v>
      </c>
      <c r="C5" s="123"/>
      <c r="D5" s="123"/>
      <c r="E5" s="123"/>
      <c r="F5" s="4"/>
      <c r="G5" s="120"/>
      <c r="H5" s="6"/>
      <c r="I5" s="6"/>
      <c r="J5" s="124" t="s">
        <v>6</v>
      </c>
      <c r="K5" s="125"/>
      <c r="L5" s="125"/>
      <c r="M5" s="126"/>
      <c r="N5" s="124" t="s">
        <v>7</v>
      </c>
      <c r="O5" s="126"/>
      <c r="P5" s="124" t="s">
        <v>8</v>
      </c>
      <c r="Q5" s="125"/>
      <c r="R5" s="126"/>
      <c r="S5" s="98" t="s">
        <v>9</v>
      </c>
      <c r="T5" s="6"/>
      <c r="U5" s="6"/>
    </row>
    <row r="6" spans="1:23" ht="54.65" customHeight="1" x14ac:dyDescent="0.35">
      <c r="A6" s="4"/>
      <c r="B6" s="123" t="s">
        <v>10</v>
      </c>
      <c r="C6" s="123"/>
      <c r="D6" s="123"/>
      <c r="E6" s="123"/>
      <c r="F6" s="4"/>
      <c r="G6" s="120"/>
      <c r="H6" s="6"/>
      <c r="I6" s="6"/>
      <c r="J6" s="13" t="s">
        <v>11</v>
      </c>
      <c r="K6" s="14" t="s">
        <v>12</v>
      </c>
      <c r="L6" s="15" t="s">
        <v>13</v>
      </c>
      <c r="M6" s="16" t="s">
        <v>14</v>
      </c>
      <c r="N6" s="14" t="s">
        <v>172</v>
      </c>
      <c r="O6" s="14" t="s">
        <v>166</v>
      </c>
      <c r="P6" s="13" t="s">
        <v>15</v>
      </c>
      <c r="Q6" s="15" t="s">
        <v>16</v>
      </c>
      <c r="R6" s="17" t="s">
        <v>17</v>
      </c>
      <c r="S6" s="18" t="s">
        <v>18</v>
      </c>
      <c r="T6" s="6"/>
      <c r="U6" s="6"/>
      <c r="V6" s="95" t="s">
        <v>19</v>
      </c>
    </row>
    <row r="7" spans="1:23" ht="51" customHeight="1" x14ac:dyDescent="0.35">
      <c r="A7" s="4"/>
      <c r="B7" s="127" t="s">
        <v>20</v>
      </c>
      <c r="C7" s="127"/>
      <c r="D7" s="127"/>
      <c r="E7" s="127"/>
      <c r="F7" s="4"/>
      <c r="G7" s="120"/>
      <c r="H7" s="6"/>
      <c r="I7" s="6"/>
      <c r="J7" s="19" t="s">
        <v>21</v>
      </c>
      <c r="K7" s="20" t="s">
        <v>22</v>
      </c>
      <c r="L7" s="20" t="s">
        <v>21</v>
      </c>
      <c r="M7" s="21" t="s">
        <v>22</v>
      </c>
      <c r="N7" s="111" t="s">
        <v>23</v>
      </c>
      <c r="O7" s="111" t="s">
        <v>23</v>
      </c>
      <c r="P7" s="19" t="s">
        <v>24</v>
      </c>
      <c r="Q7" s="20" t="s">
        <v>25</v>
      </c>
      <c r="R7" s="21" t="s">
        <v>25</v>
      </c>
      <c r="S7" s="21" t="s">
        <v>26</v>
      </c>
      <c r="T7" s="6"/>
      <c r="U7" s="6"/>
      <c r="V7" s="96" t="s">
        <v>27</v>
      </c>
      <c r="W7" s="96" t="s">
        <v>169</v>
      </c>
    </row>
    <row r="8" spans="1:23" ht="34.5" customHeight="1" x14ac:dyDescent="0.35">
      <c r="A8" s="4"/>
      <c r="B8" s="127" t="s">
        <v>28</v>
      </c>
      <c r="C8" s="127"/>
      <c r="D8" s="127"/>
      <c r="E8" s="127"/>
      <c r="F8" s="4"/>
      <c r="G8" s="120"/>
      <c r="H8" s="6"/>
      <c r="I8" s="22">
        <v>2025</v>
      </c>
      <c r="J8" s="23">
        <v>14.877049180327868</v>
      </c>
      <c r="K8" s="24">
        <f t="shared" ref="K8:K33" si="0">J8*$K$40*1000</f>
        <v>602.52049180327867</v>
      </c>
      <c r="L8" s="25">
        <v>30</v>
      </c>
      <c r="M8" s="24">
        <f t="shared" ref="M8:M33" si="1">L8*$L$40*1000</f>
        <v>1109.9999999999998</v>
      </c>
      <c r="N8" s="112">
        <f>$N$66+($N$67-$N$66)/10*($I8-$J$66)</f>
        <v>112.47237120000003</v>
      </c>
      <c r="O8" s="113">
        <f>$L$66+($L$67-$L$66)/10*($I8-$J$66)</f>
        <v>180.07234560000001</v>
      </c>
      <c r="P8" s="109">
        <v>0.7</v>
      </c>
      <c r="Q8" s="25">
        <v>119.06000000000002</v>
      </c>
      <c r="R8" s="114">
        <f>Q8*P8</f>
        <v>83.342000000000013</v>
      </c>
      <c r="S8" s="27">
        <v>89.336799999999997</v>
      </c>
      <c r="T8" s="6"/>
      <c r="U8" s="6"/>
      <c r="V8" s="96" t="s">
        <v>170</v>
      </c>
      <c r="W8" s="96" t="s">
        <v>168</v>
      </c>
    </row>
    <row r="9" spans="1:23" x14ac:dyDescent="0.35">
      <c r="A9" s="4"/>
      <c r="B9" s="4"/>
      <c r="C9" s="4"/>
      <c r="D9" s="4"/>
      <c r="E9" s="4"/>
      <c r="F9" s="4"/>
      <c r="G9" s="120"/>
      <c r="H9" s="6"/>
      <c r="I9" s="22">
        <v>2026</v>
      </c>
      <c r="J9" s="23">
        <v>14.498360655737638</v>
      </c>
      <c r="K9" s="24">
        <f t="shared" si="0"/>
        <v>587.18360655737433</v>
      </c>
      <c r="L9" s="25">
        <v>31.299999999999997</v>
      </c>
      <c r="M9" s="24">
        <f t="shared" si="1"/>
        <v>1158.0999999999999</v>
      </c>
      <c r="N9" s="23">
        <f t="shared" ref="N9:N12" si="2">$N$66+($N$67-$N$66)/10*($I9-$J$66)</f>
        <v>113.52133632000002</v>
      </c>
      <c r="O9" s="114">
        <f>$L$66+($L$67-$L$66)/10*(I9-$J$66)</f>
        <v>180.88820736</v>
      </c>
      <c r="P9" s="109">
        <v>1</v>
      </c>
      <c r="Q9" s="25">
        <v>126.20360000000002</v>
      </c>
      <c r="R9" s="114">
        <f t="shared" ref="R9:R33" si="3">Q9*P9</f>
        <v>126.20360000000002</v>
      </c>
      <c r="S9" s="27">
        <v>89.336799999999997</v>
      </c>
      <c r="T9" s="6"/>
      <c r="U9" s="6"/>
      <c r="W9" s="96" t="s">
        <v>170</v>
      </c>
    </row>
    <row r="10" spans="1:23" ht="23.5" x14ac:dyDescent="0.35">
      <c r="A10" s="4"/>
      <c r="B10" s="28" t="s">
        <v>29</v>
      </c>
      <c r="C10" s="29"/>
      <c r="D10" s="29"/>
      <c r="E10" s="29"/>
      <c r="F10" s="29"/>
      <c r="G10" s="120"/>
      <c r="H10" s="6"/>
      <c r="I10" s="22">
        <v>2027</v>
      </c>
      <c r="J10" s="23">
        <v>14.119672131147574</v>
      </c>
      <c r="K10" s="24">
        <f t="shared" si="0"/>
        <v>571.8467213114767</v>
      </c>
      <c r="L10" s="25">
        <v>32.599999999999994</v>
      </c>
      <c r="M10" s="24">
        <f t="shared" si="1"/>
        <v>1206.1999999999998</v>
      </c>
      <c r="N10" s="23">
        <f t="shared" si="2"/>
        <v>114.57030144000002</v>
      </c>
      <c r="O10" s="114">
        <f>$L$66+($L$67-$L$66)/10*(I10-$J$66)</f>
        <v>181.70406912000001</v>
      </c>
      <c r="P10" s="109">
        <v>1</v>
      </c>
      <c r="Q10" s="25">
        <v>133.34720000000002</v>
      </c>
      <c r="R10" s="114">
        <f t="shared" si="3"/>
        <v>133.34720000000002</v>
      </c>
      <c r="S10" s="27">
        <v>89.336799999999997</v>
      </c>
      <c r="T10" s="6"/>
      <c r="U10" s="6"/>
    </row>
    <row r="11" spans="1:23" ht="19" thickBot="1" x14ac:dyDescent="0.4">
      <c r="A11" s="4"/>
      <c r="B11" s="30" t="s">
        <v>30</v>
      </c>
      <c r="C11" s="31"/>
      <c r="D11" s="32" t="s">
        <v>31</v>
      </c>
      <c r="E11" s="31"/>
      <c r="F11" s="31"/>
      <c r="G11" s="120"/>
      <c r="H11" s="6"/>
      <c r="I11" s="22">
        <v>2028</v>
      </c>
      <c r="J11" s="23">
        <v>13.740983606557345</v>
      </c>
      <c r="K11" s="24">
        <f t="shared" si="0"/>
        <v>556.50983606557247</v>
      </c>
      <c r="L11" s="25">
        <v>33.900000000000006</v>
      </c>
      <c r="M11" s="24">
        <f t="shared" si="1"/>
        <v>1254.3000000000002</v>
      </c>
      <c r="N11" s="23">
        <f t="shared" si="2"/>
        <v>115.61926656000003</v>
      </c>
      <c r="O11" s="114">
        <f>$L$66+($L$67-$L$66)/10*(I11-$J$66)</f>
        <v>182.51993088</v>
      </c>
      <c r="P11" s="109">
        <v>1</v>
      </c>
      <c r="Q11" s="25">
        <v>140.49080000000001</v>
      </c>
      <c r="R11" s="114">
        <f t="shared" si="3"/>
        <v>140.49080000000001</v>
      </c>
      <c r="S11" s="27">
        <v>89.336799999999997</v>
      </c>
      <c r="T11" s="6"/>
      <c r="U11" s="6"/>
    </row>
    <row r="12" spans="1:23" ht="17" thickTop="1" thickBot="1" x14ac:dyDescent="0.4">
      <c r="A12" s="4"/>
      <c r="B12" s="33" t="s">
        <v>32</v>
      </c>
      <c r="C12" s="34">
        <v>2025</v>
      </c>
      <c r="D12" s="35"/>
      <c r="E12" s="29"/>
      <c r="F12" s="36"/>
      <c r="G12" s="120"/>
      <c r="H12" s="6"/>
      <c r="I12" s="22">
        <v>2029</v>
      </c>
      <c r="J12" s="23">
        <v>13.362295081967115</v>
      </c>
      <c r="K12" s="24">
        <f t="shared" si="0"/>
        <v>541.17295081966824</v>
      </c>
      <c r="L12" s="25">
        <v>35.199999999999996</v>
      </c>
      <c r="M12" s="24">
        <f t="shared" si="1"/>
        <v>1302.3999999999999</v>
      </c>
      <c r="N12" s="23">
        <f t="shared" si="2"/>
        <v>116.66823168000002</v>
      </c>
      <c r="O12" s="114">
        <f>$L$66+($L$67-$L$66)/10*(I12-$J$66)</f>
        <v>183.33579264000002</v>
      </c>
      <c r="P12" s="109">
        <v>1</v>
      </c>
      <c r="Q12" s="25">
        <v>147.6344</v>
      </c>
      <c r="R12" s="114">
        <f t="shared" si="3"/>
        <v>147.6344</v>
      </c>
      <c r="S12" s="27">
        <v>89.336799999999997</v>
      </c>
      <c r="T12" s="6"/>
      <c r="U12" s="6"/>
    </row>
    <row r="13" spans="1:23" ht="16" customHeight="1" thickTop="1" x14ac:dyDescent="0.35">
      <c r="A13" s="4"/>
      <c r="B13" s="29"/>
      <c r="C13" s="29"/>
      <c r="D13" s="29"/>
      <c r="E13" s="29"/>
      <c r="F13" s="29"/>
      <c r="G13" s="120"/>
      <c r="H13" s="6"/>
      <c r="I13" s="22">
        <v>2030</v>
      </c>
      <c r="J13" s="23">
        <v>12.983606557377048</v>
      </c>
      <c r="K13" s="24">
        <f t="shared" si="0"/>
        <v>525.8360655737705</v>
      </c>
      <c r="L13" s="25">
        <v>36.5</v>
      </c>
      <c r="M13" s="24">
        <f t="shared" si="1"/>
        <v>1350.5</v>
      </c>
      <c r="N13" s="23">
        <f>$N$67+($N$68-$N$67)/10*($I13-$J$67)</f>
        <v>117.71719680000002</v>
      </c>
      <c r="O13" s="114">
        <f t="shared" ref="O13:O22" si="4">$L$67+($L$68-$L$67)/10*(I13-$J$67)</f>
        <v>184.15165440000001</v>
      </c>
      <c r="P13" s="109">
        <v>1</v>
      </c>
      <c r="Q13" s="25">
        <v>154.77800000000002</v>
      </c>
      <c r="R13" s="114">
        <f t="shared" si="3"/>
        <v>154.77800000000002</v>
      </c>
      <c r="S13" s="27">
        <v>85.690399999999997</v>
      </c>
      <c r="T13" s="6"/>
      <c r="U13" s="6"/>
    </row>
    <row r="14" spans="1:23" ht="15.65" customHeight="1" thickBot="1" x14ac:dyDescent="0.4">
      <c r="A14" s="4"/>
      <c r="B14" s="33" t="s">
        <v>33</v>
      </c>
      <c r="C14" s="37"/>
      <c r="D14" s="29"/>
      <c r="E14" s="29"/>
      <c r="F14" s="29"/>
      <c r="G14" s="120"/>
      <c r="H14" s="6"/>
      <c r="I14" s="22">
        <v>2031</v>
      </c>
      <c r="J14" s="23">
        <v>12.983606557377048</v>
      </c>
      <c r="K14" s="24">
        <f t="shared" si="0"/>
        <v>525.8360655737705</v>
      </c>
      <c r="L14" s="25">
        <v>37.9</v>
      </c>
      <c r="M14" s="24">
        <f t="shared" si="1"/>
        <v>1402.3</v>
      </c>
      <c r="N14" s="23">
        <f t="shared" ref="N14:N22" si="5">$N$67+($N$68-$N$67)/10*($I14-$J$67)</f>
        <v>117.83374848000003</v>
      </c>
      <c r="O14" s="114">
        <f t="shared" si="4"/>
        <v>184.26820608000003</v>
      </c>
      <c r="P14" s="109">
        <v>1</v>
      </c>
      <c r="Q14" s="25">
        <v>165.54102400000002</v>
      </c>
      <c r="R14" s="114">
        <f t="shared" si="3"/>
        <v>165.54102400000002</v>
      </c>
      <c r="S14" s="27">
        <v>85.690399999999997</v>
      </c>
      <c r="T14" s="6"/>
      <c r="U14" s="6"/>
    </row>
    <row r="15" spans="1:23" ht="16.5" customHeight="1" thickTop="1" thickBot="1" x14ac:dyDescent="0.5">
      <c r="A15" s="38"/>
      <c r="B15" s="35" t="s">
        <v>34</v>
      </c>
      <c r="C15" s="97">
        <v>1000</v>
      </c>
      <c r="D15" s="79" t="s">
        <v>35</v>
      </c>
      <c r="E15" s="39"/>
      <c r="F15" s="29"/>
      <c r="G15" s="120"/>
      <c r="H15" s="6"/>
      <c r="I15" s="22">
        <v>2032</v>
      </c>
      <c r="J15" s="23">
        <v>12.983606557377048</v>
      </c>
      <c r="K15" s="24">
        <f t="shared" si="0"/>
        <v>525.8360655737705</v>
      </c>
      <c r="L15" s="25">
        <v>39.299999999999997</v>
      </c>
      <c r="M15" s="24">
        <f t="shared" si="1"/>
        <v>1454.0999999999997</v>
      </c>
      <c r="N15" s="23">
        <f t="shared" si="5"/>
        <v>117.95030016000003</v>
      </c>
      <c r="O15" s="114">
        <f t="shared" si="4"/>
        <v>184.38475776000001</v>
      </c>
      <c r="P15" s="109">
        <v>1</v>
      </c>
      <c r="Q15" s="25">
        <v>176.30404800000002</v>
      </c>
      <c r="R15" s="114">
        <f t="shared" si="3"/>
        <v>176.30404800000002</v>
      </c>
      <c r="S15" s="27">
        <v>85.690399999999997</v>
      </c>
      <c r="T15" s="6"/>
      <c r="U15" s="6"/>
    </row>
    <row r="16" spans="1:23" ht="17" thickTop="1" thickBot="1" x14ac:dyDescent="0.4">
      <c r="A16" s="4"/>
      <c r="B16" s="35" t="s">
        <v>36</v>
      </c>
      <c r="C16" s="34">
        <v>0</v>
      </c>
      <c r="D16" s="79" t="s">
        <v>37</v>
      </c>
      <c r="E16" s="29"/>
      <c r="F16" s="29"/>
      <c r="G16" s="120"/>
      <c r="H16" s="6"/>
      <c r="I16" s="22">
        <v>2033</v>
      </c>
      <c r="J16" s="23">
        <v>12.983606557377048</v>
      </c>
      <c r="K16" s="24">
        <f t="shared" si="0"/>
        <v>525.8360655737705</v>
      </c>
      <c r="L16" s="25">
        <v>40.700000000000003</v>
      </c>
      <c r="M16" s="24">
        <f t="shared" si="1"/>
        <v>1505.9</v>
      </c>
      <c r="N16" s="23">
        <f t="shared" si="5"/>
        <v>118.06685184000003</v>
      </c>
      <c r="O16" s="114">
        <f t="shared" si="4"/>
        <v>184.50130944</v>
      </c>
      <c r="P16" s="109">
        <v>1</v>
      </c>
      <c r="Q16" s="25">
        <v>187.06707200000002</v>
      </c>
      <c r="R16" s="114">
        <f t="shared" si="3"/>
        <v>187.06707200000002</v>
      </c>
      <c r="S16" s="27">
        <v>85.690399999999997</v>
      </c>
      <c r="T16" s="6"/>
      <c r="U16" s="6"/>
    </row>
    <row r="17" spans="1:21" ht="15" thickTop="1" x14ac:dyDescent="0.35">
      <c r="A17" s="4"/>
      <c r="B17" s="29"/>
      <c r="C17" s="29"/>
      <c r="D17" s="29"/>
      <c r="E17" s="29"/>
      <c r="F17" s="29"/>
      <c r="G17" s="120"/>
      <c r="H17" s="6"/>
      <c r="I17" s="22">
        <v>2034</v>
      </c>
      <c r="J17" s="23">
        <v>12.983606557377048</v>
      </c>
      <c r="K17" s="24">
        <f t="shared" si="0"/>
        <v>525.8360655737705</v>
      </c>
      <c r="L17" s="25">
        <v>42.1</v>
      </c>
      <c r="M17" s="24">
        <f t="shared" si="1"/>
        <v>1557.7</v>
      </c>
      <c r="N17" s="23">
        <f t="shared" si="5"/>
        <v>118.18340352000003</v>
      </c>
      <c r="O17" s="114">
        <f t="shared" si="4"/>
        <v>184.61786112000001</v>
      </c>
      <c r="P17" s="109">
        <v>1</v>
      </c>
      <c r="Q17" s="25">
        <v>197.83009600000003</v>
      </c>
      <c r="R17" s="114">
        <f t="shared" si="3"/>
        <v>197.83009600000003</v>
      </c>
      <c r="S17" s="27">
        <v>85.690399999999997</v>
      </c>
      <c r="T17" s="6"/>
      <c r="U17" s="6"/>
    </row>
    <row r="18" spans="1:21" ht="16.5" thickBot="1" x14ac:dyDescent="0.4">
      <c r="A18" s="4"/>
      <c r="B18" s="33" t="s">
        <v>38</v>
      </c>
      <c r="C18" s="37"/>
      <c r="D18" s="29"/>
      <c r="E18" s="29"/>
      <c r="F18" s="29"/>
      <c r="G18" s="120"/>
      <c r="H18" s="6"/>
      <c r="I18" s="22">
        <v>2035</v>
      </c>
      <c r="J18" s="23">
        <v>12.983606557377048</v>
      </c>
      <c r="K18" s="24">
        <f t="shared" si="0"/>
        <v>525.8360655737705</v>
      </c>
      <c r="L18" s="25">
        <v>43.5</v>
      </c>
      <c r="M18" s="24">
        <f t="shared" si="1"/>
        <v>1609.5</v>
      </c>
      <c r="N18" s="23">
        <f t="shared" si="5"/>
        <v>118.29995520000003</v>
      </c>
      <c r="O18" s="114">
        <f t="shared" si="4"/>
        <v>184.73441280000003</v>
      </c>
      <c r="P18" s="109">
        <v>1</v>
      </c>
      <c r="Q18" s="25">
        <v>197.63960000000003</v>
      </c>
      <c r="R18" s="114">
        <f t="shared" si="3"/>
        <v>197.63960000000003</v>
      </c>
      <c r="S18" s="27">
        <v>77.941800000000001</v>
      </c>
      <c r="T18" s="6"/>
      <c r="U18" s="6"/>
    </row>
    <row r="19" spans="1:21" ht="15" customHeight="1" thickTop="1" thickBot="1" x14ac:dyDescent="0.4">
      <c r="A19" s="35"/>
      <c r="B19" s="35" t="s">
        <v>39</v>
      </c>
      <c r="C19" s="97">
        <v>500</v>
      </c>
      <c r="D19" s="79" t="s">
        <v>40</v>
      </c>
      <c r="E19" s="29"/>
      <c r="F19" s="29"/>
      <c r="G19" s="121"/>
      <c r="H19" s="6"/>
      <c r="I19" s="22">
        <v>2036</v>
      </c>
      <c r="J19" s="23">
        <v>12.983606557377048</v>
      </c>
      <c r="K19" s="24">
        <f t="shared" si="0"/>
        <v>525.8360655737705</v>
      </c>
      <c r="L19" s="25">
        <v>44.9</v>
      </c>
      <c r="M19" s="24">
        <f t="shared" si="1"/>
        <v>1661.2999999999997</v>
      </c>
      <c r="N19" s="23">
        <f t="shared" si="5"/>
        <v>118.41650688000001</v>
      </c>
      <c r="O19" s="114">
        <f t="shared" si="4"/>
        <v>184.85096448000002</v>
      </c>
      <c r="P19" s="109">
        <v>1</v>
      </c>
      <c r="Q19" s="25">
        <v>208.59312000000003</v>
      </c>
      <c r="R19" s="114">
        <f t="shared" si="3"/>
        <v>208.59312000000003</v>
      </c>
      <c r="S19" s="27">
        <v>77.941800000000001</v>
      </c>
      <c r="T19" s="6"/>
      <c r="U19" s="6"/>
    </row>
    <row r="20" spans="1:21" ht="14.5" customHeight="1" thickTop="1" x14ac:dyDescent="0.35">
      <c r="A20" s="40"/>
      <c r="B20" s="40"/>
      <c r="C20" s="40"/>
      <c r="D20" s="79"/>
      <c r="E20" s="40"/>
      <c r="F20" s="40"/>
      <c r="G20" s="120"/>
      <c r="H20" s="6"/>
      <c r="I20" s="22">
        <v>2037</v>
      </c>
      <c r="J20" s="23">
        <v>12.983606557377048</v>
      </c>
      <c r="K20" s="24">
        <f t="shared" si="0"/>
        <v>525.8360655737705</v>
      </c>
      <c r="L20" s="25">
        <v>46.3</v>
      </c>
      <c r="M20" s="24">
        <f t="shared" si="1"/>
        <v>1713.1</v>
      </c>
      <c r="N20" s="23">
        <f t="shared" si="5"/>
        <v>118.53305856000001</v>
      </c>
      <c r="O20" s="114">
        <f t="shared" si="4"/>
        <v>184.96751616</v>
      </c>
      <c r="P20" s="109">
        <v>1</v>
      </c>
      <c r="Q20" s="25">
        <v>219.54664000000002</v>
      </c>
      <c r="R20" s="114">
        <f t="shared" si="3"/>
        <v>219.54664000000002</v>
      </c>
      <c r="S20" s="27">
        <v>77.941800000000001</v>
      </c>
      <c r="T20" s="6"/>
      <c r="U20" s="6"/>
    </row>
    <row r="21" spans="1:21" ht="14.5" customHeight="1" thickBot="1" x14ac:dyDescent="0.4">
      <c r="A21" s="4"/>
      <c r="B21" s="33" t="s">
        <v>41</v>
      </c>
      <c r="C21" s="37"/>
      <c r="D21" s="29"/>
      <c r="E21" s="29"/>
      <c r="F21" s="40"/>
      <c r="G21" s="120"/>
      <c r="H21" s="6"/>
      <c r="I21" s="22">
        <v>2038</v>
      </c>
      <c r="J21" s="23">
        <v>12.983606557377048</v>
      </c>
      <c r="K21" s="24">
        <f t="shared" si="0"/>
        <v>525.8360655737705</v>
      </c>
      <c r="L21" s="25">
        <v>47.7</v>
      </c>
      <c r="M21" s="24">
        <f t="shared" si="1"/>
        <v>1764.8999999999999</v>
      </c>
      <c r="N21" s="23">
        <f t="shared" si="5"/>
        <v>118.64961024000002</v>
      </c>
      <c r="O21" s="114">
        <f t="shared" si="4"/>
        <v>185.08406784000002</v>
      </c>
      <c r="P21" s="109">
        <v>1</v>
      </c>
      <c r="Q21" s="25">
        <v>230.50016000000002</v>
      </c>
      <c r="R21" s="114">
        <f t="shared" si="3"/>
        <v>230.50016000000002</v>
      </c>
      <c r="S21" s="27">
        <v>77.941800000000001</v>
      </c>
      <c r="T21" s="6"/>
      <c r="U21" s="6"/>
    </row>
    <row r="22" spans="1:21" ht="15.5" thickTop="1" thickBot="1" x14ac:dyDescent="0.4">
      <c r="A22" s="4"/>
      <c r="B22" s="35" t="s">
        <v>42</v>
      </c>
      <c r="C22" s="41" t="s">
        <v>109</v>
      </c>
      <c r="D22" s="79" t="s">
        <v>44</v>
      </c>
      <c r="E22" s="29"/>
      <c r="F22" s="40"/>
      <c r="G22" s="120"/>
      <c r="H22" s="6"/>
      <c r="I22" s="22">
        <v>2039</v>
      </c>
      <c r="J22" s="23">
        <v>12.983606557377048</v>
      </c>
      <c r="K22" s="24">
        <f t="shared" si="0"/>
        <v>525.8360655737705</v>
      </c>
      <c r="L22" s="25">
        <v>49.1</v>
      </c>
      <c r="M22" s="24">
        <f t="shared" si="1"/>
        <v>1816.7</v>
      </c>
      <c r="N22" s="23">
        <f t="shared" si="5"/>
        <v>118.76616192000002</v>
      </c>
      <c r="O22" s="114">
        <f t="shared" si="4"/>
        <v>185.20061952000003</v>
      </c>
      <c r="P22" s="109">
        <v>1</v>
      </c>
      <c r="Q22" s="25">
        <v>241.45368000000002</v>
      </c>
      <c r="R22" s="114">
        <f t="shared" si="3"/>
        <v>241.45368000000002</v>
      </c>
      <c r="S22" s="27">
        <v>77.941800000000001</v>
      </c>
      <c r="T22" s="6"/>
      <c r="U22" s="6"/>
    </row>
    <row r="23" spans="1:21" ht="15.5" thickTop="1" thickBot="1" x14ac:dyDescent="0.4">
      <c r="A23" s="4"/>
      <c r="B23" s="35" t="s">
        <v>174</v>
      </c>
      <c r="C23" s="41" t="s">
        <v>45</v>
      </c>
      <c r="D23" s="79" t="s">
        <v>175</v>
      </c>
      <c r="E23" s="29"/>
      <c r="F23" s="40"/>
      <c r="G23" s="120"/>
      <c r="H23" s="6"/>
      <c r="I23" s="22">
        <v>2040</v>
      </c>
      <c r="J23" s="23">
        <v>12.983606557377048</v>
      </c>
      <c r="K23" s="24">
        <f t="shared" si="0"/>
        <v>525.8360655737705</v>
      </c>
      <c r="L23" s="25">
        <v>50.5</v>
      </c>
      <c r="M23" s="24">
        <f t="shared" si="1"/>
        <v>1868.4999999999998</v>
      </c>
      <c r="N23" s="23">
        <f>$N$68+($N$69-$N$68)/10*($I23-$J$68)</f>
        <v>118.88271360000002</v>
      </c>
      <c r="O23" s="114">
        <f t="shared" ref="O23:O33" si="6">$L$68+($L$69-$L$68)/10*(I23-$J$68)</f>
        <v>185.31717120000002</v>
      </c>
      <c r="P23" s="109">
        <v>1</v>
      </c>
      <c r="Q23" s="25">
        <v>252.40720000000002</v>
      </c>
      <c r="R23" s="114">
        <f t="shared" si="3"/>
        <v>252.40720000000002</v>
      </c>
      <c r="S23" s="27">
        <v>62.900399999999991</v>
      </c>
      <c r="T23" s="6"/>
      <c r="U23" s="6"/>
    </row>
    <row r="24" spans="1:21" ht="15.65" customHeight="1" thickTop="1" thickBot="1" x14ac:dyDescent="0.4">
      <c r="A24" s="4"/>
      <c r="B24" s="35" t="s">
        <v>46</v>
      </c>
      <c r="C24" s="34" t="s">
        <v>27</v>
      </c>
      <c r="D24" s="79" t="str">
        <f>IF(C24="Yes","Power demand from Amaral et al., = "&amp;INDEX($J$54:$O$62,MATCH($C$22,$J$54:$J$62,0),MATCH($C$23,$J$54:$O$54,0))&amp;" MW","")</f>
        <v>Power demand from Amaral et al., = 0.529 MW</v>
      </c>
      <c r="E24" s="29"/>
      <c r="F24" s="40"/>
      <c r="G24" s="120"/>
      <c r="H24" s="6"/>
      <c r="I24" s="22">
        <v>2041</v>
      </c>
      <c r="J24" s="23">
        <v>12.983606557377048</v>
      </c>
      <c r="K24" s="24">
        <f t="shared" si="0"/>
        <v>525.8360655737705</v>
      </c>
      <c r="L24" s="25">
        <v>51.800000000000004</v>
      </c>
      <c r="M24" s="24">
        <f t="shared" si="1"/>
        <v>1916.6000000000001</v>
      </c>
      <c r="N24" s="23">
        <f t="shared" ref="N24:N32" si="7">$N$68+($N$69-$N$68)/10*($I24-$J$68)</f>
        <v>119.11581696000002</v>
      </c>
      <c r="O24" s="114">
        <f t="shared" si="6"/>
        <v>185.55027456000002</v>
      </c>
      <c r="P24" s="109">
        <v>1</v>
      </c>
      <c r="Q24" s="25">
        <v>266.93252000000001</v>
      </c>
      <c r="R24" s="114">
        <f t="shared" si="3"/>
        <v>266.93252000000001</v>
      </c>
      <c r="S24" s="27">
        <v>62.900399999999991</v>
      </c>
      <c r="T24" s="6"/>
      <c r="U24" s="6"/>
    </row>
    <row r="25" spans="1:21" ht="17" thickTop="1" thickBot="1" x14ac:dyDescent="0.4">
      <c r="A25" s="4"/>
      <c r="B25" s="35" t="str">
        <f>IF(C24="Enter my own","Enter power demand in port [MW] -&gt;","")</f>
        <v/>
      </c>
      <c r="C25" s="34">
        <v>1</v>
      </c>
      <c r="D25" s="42" t="str">
        <f>IF(C24="Enter my own","Note: enter the average power demand  in MW while at berth","")</f>
        <v/>
      </c>
      <c r="E25" s="40"/>
      <c r="F25" s="40"/>
      <c r="G25" s="120"/>
      <c r="H25" s="6"/>
      <c r="I25" s="22">
        <v>2042</v>
      </c>
      <c r="J25" s="23">
        <v>12.983606557377048</v>
      </c>
      <c r="K25" s="24">
        <f t="shared" si="0"/>
        <v>525.8360655737705</v>
      </c>
      <c r="L25" s="25">
        <v>53.099999999999994</v>
      </c>
      <c r="M25" s="24">
        <f t="shared" si="1"/>
        <v>1964.6999999999996</v>
      </c>
      <c r="N25" s="23">
        <f t="shared" si="7"/>
        <v>119.34892032000002</v>
      </c>
      <c r="O25" s="114">
        <f t="shared" si="6"/>
        <v>185.78337792000002</v>
      </c>
      <c r="P25" s="109">
        <v>1</v>
      </c>
      <c r="Q25" s="25">
        <v>281.45784000000003</v>
      </c>
      <c r="R25" s="114">
        <f t="shared" si="3"/>
        <v>281.45784000000003</v>
      </c>
      <c r="S25" s="27">
        <v>62.900399999999991</v>
      </c>
      <c r="T25" s="6"/>
      <c r="U25" s="6"/>
    </row>
    <row r="26" spans="1:21" ht="14.5" customHeight="1" thickTop="1" x14ac:dyDescent="0.35">
      <c r="A26" s="4"/>
      <c r="B26" s="4"/>
      <c r="C26" s="4"/>
      <c r="D26" s="4"/>
      <c r="E26" s="4"/>
      <c r="F26" s="4"/>
      <c r="G26" s="120"/>
      <c r="H26" s="6"/>
      <c r="I26" s="22">
        <v>2043</v>
      </c>
      <c r="J26" s="23">
        <v>12.983606557377048</v>
      </c>
      <c r="K26" s="24">
        <f t="shared" si="0"/>
        <v>525.8360655737705</v>
      </c>
      <c r="L26" s="25">
        <v>54.400000000000006</v>
      </c>
      <c r="M26" s="24">
        <f t="shared" si="1"/>
        <v>2012.8</v>
      </c>
      <c r="N26" s="23">
        <f t="shared" si="7"/>
        <v>119.58202368000002</v>
      </c>
      <c r="O26" s="114">
        <f t="shared" si="6"/>
        <v>186.01648128000002</v>
      </c>
      <c r="P26" s="109">
        <v>1</v>
      </c>
      <c r="Q26" s="25">
        <v>295.98316000000005</v>
      </c>
      <c r="R26" s="114">
        <f t="shared" si="3"/>
        <v>295.98316000000005</v>
      </c>
      <c r="S26" s="27">
        <v>62.900399999999991</v>
      </c>
      <c r="T26" s="6"/>
      <c r="U26" s="6"/>
    </row>
    <row r="27" spans="1:21" ht="16" x14ac:dyDescent="0.35">
      <c r="A27" s="4"/>
      <c r="B27" s="33" t="s">
        <v>47</v>
      </c>
      <c r="C27" s="29"/>
      <c r="D27" s="4"/>
      <c r="E27" s="4"/>
      <c r="F27" s="4"/>
      <c r="G27" s="120"/>
      <c r="H27" s="6"/>
      <c r="I27" s="22">
        <v>2044</v>
      </c>
      <c r="J27" s="23">
        <v>12.983606557377048</v>
      </c>
      <c r="K27" s="24">
        <f t="shared" si="0"/>
        <v>525.8360655737705</v>
      </c>
      <c r="L27" s="25">
        <v>55.699999999999996</v>
      </c>
      <c r="M27" s="24">
        <f t="shared" si="1"/>
        <v>2060.8999999999996</v>
      </c>
      <c r="N27" s="23">
        <f t="shared" si="7"/>
        <v>119.81512704000002</v>
      </c>
      <c r="O27" s="114">
        <f t="shared" si="6"/>
        <v>186.24958464000002</v>
      </c>
      <c r="P27" s="109">
        <v>1</v>
      </c>
      <c r="Q27" s="25">
        <v>310.50848000000008</v>
      </c>
      <c r="R27" s="114">
        <f t="shared" si="3"/>
        <v>310.50848000000008</v>
      </c>
      <c r="S27" s="27">
        <v>62.900399999999991</v>
      </c>
      <c r="T27" s="6"/>
      <c r="U27" s="6"/>
    </row>
    <row r="28" spans="1:21" x14ac:dyDescent="0.35">
      <c r="A28" s="4"/>
      <c r="B28" s="35" t="s">
        <v>48</v>
      </c>
      <c r="C28" s="4"/>
      <c r="D28" s="4"/>
      <c r="E28" s="4"/>
      <c r="F28" s="4"/>
      <c r="G28" s="120"/>
      <c r="H28" s="6"/>
      <c r="I28" s="22">
        <v>2045</v>
      </c>
      <c r="J28" s="23">
        <v>12.983606557377048</v>
      </c>
      <c r="K28" s="24">
        <f t="shared" si="0"/>
        <v>525.8360655737705</v>
      </c>
      <c r="L28" s="25">
        <v>57</v>
      </c>
      <c r="M28" s="24">
        <f t="shared" si="1"/>
        <v>2109</v>
      </c>
      <c r="N28" s="23">
        <f t="shared" si="7"/>
        <v>120.04823040000002</v>
      </c>
      <c r="O28" s="114">
        <f t="shared" si="6"/>
        <v>186.48268800000002</v>
      </c>
      <c r="P28" s="109">
        <v>1</v>
      </c>
      <c r="Q28" s="25">
        <v>325.03380000000004</v>
      </c>
      <c r="R28" s="114">
        <f t="shared" si="3"/>
        <v>325.03380000000004</v>
      </c>
      <c r="S28" s="27">
        <v>34.640799999999999</v>
      </c>
      <c r="T28" s="6"/>
      <c r="U28" s="6"/>
    </row>
    <row r="29" spans="1:21" x14ac:dyDescent="0.35">
      <c r="A29" s="4"/>
      <c r="B29" s="43" t="str">
        <f>C12&amp;" FuelEU Target [gCO2e/MJ]:"</f>
        <v>2025 FuelEU Target [gCO2e/MJ]:</v>
      </c>
      <c r="C29" s="44">
        <f>$E$67</f>
        <v>89.336799999999997</v>
      </c>
      <c r="D29" s="29"/>
      <c r="E29" s="29"/>
      <c r="F29" s="29"/>
      <c r="G29" s="120"/>
      <c r="H29" s="6"/>
      <c r="I29" s="22">
        <v>2046</v>
      </c>
      <c r="J29" s="23">
        <v>12.983606557377048</v>
      </c>
      <c r="K29" s="24">
        <f t="shared" si="0"/>
        <v>525.8360655737705</v>
      </c>
      <c r="L29" s="25">
        <v>58.300000000000004</v>
      </c>
      <c r="M29" s="24">
        <f t="shared" si="1"/>
        <v>2157.1000000000004</v>
      </c>
      <c r="N29" s="23">
        <f t="shared" si="7"/>
        <v>120.28133376000001</v>
      </c>
      <c r="O29" s="114">
        <f t="shared" si="6"/>
        <v>186.71579136000003</v>
      </c>
      <c r="P29" s="109">
        <v>1</v>
      </c>
      <c r="Q29" s="25">
        <v>343.36904000000004</v>
      </c>
      <c r="R29" s="114">
        <f t="shared" si="3"/>
        <v>343.36904000000004</v>
      </c>
      <c r="S29" s="27">
        <v>34.640799999999999</v>
      </c>
      <c r="T29" s="6"/>
      <c r="U29" s="6"/>
    </row>
    <row r="30" spans="1:21" x14ac:dyDescent="0.35">
      <c r="A30" s="4"/>
      <c r="B30" s="35" t="s">
        <v>49</v>
      </c>
      <c r="C30" s="4"/>
      <c r="D30" s="4"/>
      <c r="E30" s="4"/>
      <c r="F30" s="4"/>
      <c r="G30" s="120"/>
      <c r="H30" s="6"/>
      <c r="I30" s="22">
        <v>2047</v>
      </c>
      <c r="J30" s="23">
        <v>12.983606557377048</v>
      </c>
      <c r="K30" s="24">
        <f t="shared" si="0"/>
        <v>525.8360655737705</v>
      </c>
      <c r="L30" s="25">
        <v>59.599999999999994</v>
      </c>
      <c r="M30" s="24">
        <f t="shared" si="1"/>
        <v>2205.1999999999998</v>
      </c>
      <c r="N30" s="23">
        <f t="shared" si="7"/>
        <v>120.51443712000001</v>
      </c>
      <c r="O30" s="114">
        <f t="shared" si="6"/>
        <v>186.94889472000003</v>
      </c>
      <c r="P30" s="109">
        <v>1</v>
      </c>
      <c r="Q30" s="25">
        <v>361.70428000000004</v>
      </c>
      <c r="R30" s="114">
        <f t="shared" si="3"/>
        <v>361.70428000000004</v>
      </c>
      <c r="S30" s="27">
        <v>34.640799999999999</v>
      </c>
      <c r="T30" s="6"/>
      <c r="U30" s="6"/>
    </row>
    <row r="31" spans="1:21" x14ac:dyDescent="0.35">
      <c r="A31" s="4"/>
      <c r="B31" s="43" t="s">
        <v>50</v>
      </c>
      <c r="C31" s="44">
        <f>$E$96</f>
        <v>89.497060908111635</v>
      </c>
      <c r="D31" s="40"/>
      <c r="E31" s="40"/>
      <c r="F31" s="40"/>
      <c r="G31" s="120"/>
      <c r="H31" s="6"/>
      <c r="I31" s="22">
        <v>2048</v>
      </c>
      <c r="J31" s="23">
        <v>12.983606557377048</v>
      </c>
      <c r="K31" s="24">
        <f t="shared" si="0"/>
        <v>525.8360655737705</v>
      </c>
      <c r="L31" s="25">
        <v>60.900000000000006</v>
      </c>
      <c r="M31" s="24">
        <f t="shared" si="1"/>
        <v>2253.3000000000002</v>
      </c>
      <c r="N31" s="23">
        <f t="shared" si="7"/>
        <v>120.74754048000001</v>
      </c>
      <c r="O31" s="114">
        <f t="shared" si="6"/>
        <v>187.18199808000003</v>
      </c>
      <c r="P31" s="109">
        <v>1</v>
      </c>
      <c r="Q31" s="25">
        <v>380.03952000000004</v>
      </c>
      <c r="R31" s="114">
        <f t="shared" si="3"/>
        <v>380.03952000000004</v>
      </c>
      <c r="S31" s="27">
        <v>34.640799999999999</v>
      </c>
      <c r="T31" s="6"/>
      <c r="U31" s="6"/>
    </row>
    <row r="32" spans="1:21" x14ac:dyDescent="0.35">
      <c r="A32" s="47"/>
      <c r="B32" s="35" t="s">
        <v>51</v>
      </c>
      <c r="C32" s="4"/>
      <c r="D32" s="4"/>
      <c r="E32" s="4"/>
      <c r="F32" s="4"/>
      <c r="G32" s="120"/>
      <c r="H32" s="6"/>
      <c r="I32" s="22">
        <v>2049</v>
      </c>
      <c r="J32" s="23">
        <v>12.983606557377048</v>
      </c>
      <c r="K32" s="24">
        <f t="shared" si="0"/>
        <v>525.8360655737705</v>
      </c>
      <c r="L32" s="25">
        <v>62.199999999999996</v>
      </c>
      <c r="M32" s="24">
        <f t="shared" si="1"/>
        <v>2301.3999999999996</v>
      </c>
      <c r="N32" s="23">
        <f t="shared" si="7"/>
        <v>120.98064384000001</v>
      </c>
      <c r="O32" s="114">
        <f t="shared" si="6"/>
        <v>187.41510144000003</v>
      </c>
      <c r="P32" s="109">
        <v>1</v>
      </c>
      <c r="Q32" s="25">
        <v>398.37476000000004</v>
      </c>
      <c r="R32" s="114">
        <f t="shared" si="3"/>
        <v>398.37476000000004</v>
      </c>
      <c r="S32" s="27">
        <v>34.640799999999999</v>
      </c>
      <c r="T32" s="6"/>
      <c r="U32" s="6"/>
    </row>
    <row r="33" spans="1:21" x14ac:dyDescent="0.35">
      <c r="A33" s="4"/>
      <c r="B33" s="43" t="str">
        <f>"Compliance "&amp;IF(C33&gt;0,"Surplus","Deficit")&amp;" [tonnesCO2e]:"</f>
        <v>Compliance Deficit [tonnesCO2e]:</v>
      </c>
      <c r="C33" s="45">
        <f>$E$97</f>
        <v>-6.6431670931450055</v>
      </c>
      <c r="D33" s="29" t="s">
        <v>52</v>
      </c>
      <c r="E33" s="40"/>
      <c r="F33" s="40"/>
      <c r="G33" s="120"/>
      <c r="H33" s="6"/>
      <c r="I33" s="22">
        <v>2050</v>
      </c>
      <c r="J33" s="48">
        <v>12.983606557377048</v>
      </c>
      <c r="K33" s="49">
        <f t="shared" si="0"/>
        <v>525.8360655737705</v>
      </c>
      <c r="L33" s="50">
        <v>63.5</v>
      </c>
      <c r="M33" s="49">
        <f t="shared" si="1"/>
        <v>2349.5</v>
      </c>
      <c r="N33" s="48">
        <f>$N$68+($N$69-$N$68)/10*($I33-$J$68)</f>
        <v>121.21374720000001</v>
      </c>
      <c r="O33" s="115">
        <f t="shared" si="6"/>
        <v>187.64820480000003</v>
      </c>
      <c r="P33" s="110">
        <v>1</v>
      </c>
      <c r="Q33" s="50">
        <v>416.71000000000004</v>
      </c>
      <c r="R33" s="115">
        <f t="shared" si="3"/>
        <v>416.71000000000004</v>
      </c>
      <c r="S33" s="51">
        <v>18.231999999999996</v>
      </c>
      <c r="T33" s="6"/>
      <c r="U33" s="6"/>
    </row>
    <row r="34" spans="1:21" x14ac:dyDescent="0.35">
      <c r="A34" s="4"/>
      <c r="B34" s="4"/>
      <c r="C34" s="4"/>
      <c r="D34" s="4"/>
      <c r="E34" s="40"/>
      <c r="F34" s="40"/>
      <c r="G34" s="120"/>
      <c r="H34" s="6"/>
      <c r="I34" s="52" t="s">
        <v>53</v>
      </c>
      <c r="J34" s="55" t="s">
        <v>54</v>
      </c>
      <c r="K34" s="55"/>
      <c r="L34" s="55" t="s">
        <v>55</v>
      </c>
      <c r="M34" s="54"/>
      <c r="N34" s="63" t="s">
        <v>56</v>
      </c>
      <c r="O34" s="54"/>
      <c r="P34" s="54"/>
      <c r="Q34" s="55" t="s">
        <v>57</v>
      </c>
      <c r="R34" s="54"/>
      <c r="S34" s="55" t="s">
        <v>58</v>
      </c>
      <c r="T34" s="6"/>
      <c r="U34" s="6"/>
    </row>
    <row r="35" spans="1:21" ht="16.5" customHeight="1" x14ac:dyDescent="0.35">
      <c r="A35" s="4"/>
      <c r="B35" s="4"/>
      <c r="C35" s="4"/>
      <c r="D35" s="29"/>
      <c r="E35" s="40"/>
      <c r="F35" s="40"/>
      <c r="G35" s="120"/>
      <c r="H35" s="6"/>
      <c r="I35" s="6"/>
      <c r="J35" s="6"/>
      <c r="K35" s="6"/>
      <c r="L35" s="6"/>
      <c r="M35" s="6"/>
      <c r="N35" s="6"/>
      <c r="O35" s="6"/>
      <c r="P35" s="6"/>
      <c r="Q35" s="6"/>
      <c r="R35" s="6"/>
      <c r="S35" s="6"/>
      <c r="T35" s="6"/>
      <c r="U35" s="6"/>
    </row>
    <row r="36" spans="1:21" ht="18.5" x14ac:dyDescent="0.35">
      <c r="A36" s="4"/>
      <c r="B36" s="30" t="s">
        <v>59</v>
      </c>
      <c r="C36" s="31"/>
      <c r="D36" s="32"/>
      <c r="E36" s="31"/>
      <c r="F36" s="31"/>
      <c r="G36" s="120"/>
      <c r="H36" s="6"/>
      <c r="I36" s="52"/>
      <c r="J36" s="53"/>
      <c r="K36" s="54"/>
      <c r="L36" s="55"/>
      <c r="M36" s="54"/>
      <c r="N36" s="54"/>
      <c r="O36" s="54"/>
      <c r="P36" s="54"/>
      <c r="Q36" s="55"/>
      <c r="R36" s="55"/>
      <c r="S36" s="55"/>
      <c r="T36" s="6"/>
      <c r="U36" s="6"/>
    </row>
    <row r="37" spans="1:21" ht="16" customHeight="1" thickBot="1" x14ac:dyDescent="0.45">
      <c r="A37" s="4"/>
      <c r="B37" s="7" t="s">
        <v>60</v>
      </c>
      <c r="C37" s="37"/>
      <c r="D37" s="4"/>
      <c r="E37" s="4"/>
      <c r="F37" s="4"/>
      <c r="G37" s="120"/>
      <c r="H37" s="6"/>
      <c r="I37" s="6"/>
      <c r="J37" s="57" t="s">
        <v>61</v>
      </c>
      <c r="K37" s="6"/>
      <c r="L37" s="6"/>
      <c r="M37" s="6"/>
      <c r="N37" s="6"/>
      <c r="O37" s="6"/>
      <c r="P37" s="6"/>
      <c r="Q37" s="6"/>
      <c r="R37" s="6"/>
      <c r="S37" s="6"/>
      <c r="T37" s="6"/>
      <c r="U37" s="6"/>
    </row>
    <row r="38" spans="1:21" ht="16" customHeight="1" thickTop="1" thickBot="1" x14ac:dyDescent="0.45">
      <c r="A38" s="4"/>
      <c r="B38" s="56" t="s">
        <v>176</v>
      </c>
      <c r="C38" s="34" t="s">
        <v>27</v>
      </c>
      <c r="D38" s="61" t="s">
        <v>62</v>
      </c>
      <c r="E38" s="4"/>
      <c r="F38" s="4"/>
      <c r="G38" s="120"/>
      <c r="H38" s="6"/>
      <c r="I38" s="6"/>
      <c r="J38" s="58"/>
      <c r="K38" s="59" t="s">
        <v>11</v>
      </c>
      <c r="L38" s="59" t="s">
        <v>63</v>
      </c>
      <c r="M38" s="60" t="s">
        <v>64</v>
      </c>
      <c r="N38" s="60" t="s">
        <v>31</v>
      </c>
      <c r="O38" s="60"/>
      <c r="P38" s="6"/>
      <c r="Q38" s="6"/>
      <c r="R38" s="6"/>
      <c r="S38" s="6"/>
      <c r="T38" s="6"/>
      <c r="U38" s="6"/>
    </row>
    <row r="39" spans="1:21" ht="16" customHeight="1" thickTop="1" thickBot="1" x14ac:dyDescent="0.4">
      <c r="A39" s="4"/>
      <c r="B39" s="56" t="str">
        <f>IF(C38="Enter my own","Enter LSFO cost estimate [USD/tonne LSFO] -&gt;","")</f>
        <v/>
      </c>
      <c r="C39" s="34">
        <v>600</v>
      </c>
      <c r="D39" s="128"/>
      <c r="E39" s="129"/>
      <c r="F39" s="129"/>
      <c r="G39" s="120"/>
      <c r="H39" s="6"/>
      <c r="I39" s="6"/>
      <c r="J39" s="62" t="s">
        <v>65</v>
      </c>
      <c r="K39" s="25">
        <v>91.601234567901201</v>
      </c>
      <c r="L39" s="25">
        <v>16.227027027027027</v>
      </c>
      <c r="M39" s="63" t="s">
        <v>66</v>
      </c>
      <c r="N39" s="68"/>
      <c r="O39" s="68"/>
      <c r="P39" s="6"/>
      <c r="Q39" s="6"/>
      <c r="R39" s="6"/>
      <c r="S39" s="6"/>
      <c r="T39" s="6"/>
      <c r="U39" s="6"/>
    </row>
    <row r="40" spans="1:21" ht="16" customHeight="1" thickTop="1" x14ac:dyDescent="0.35">
      <c r="A40" s="4"/>
      <c r="B40" s="56"/>
      <c r="C40" s="37"/>
      <c r="D40" s="88"/>
      <c r="E40" s="88"/>
      <c r="F40" s="88"/>
      <c r="G40" s="120"/>
      <c r="H40" s="6"/>
      <c r="I40" s="22"/>
      <c r="J40" s="62" t="s">
        <v>67</v>
      </c>
      <c r="K40" s="64">
        <v>4.0500000000000001E-2</v>
      </c>
      <c r="L40" s="64">
        <v>3.6999999999999998E-2</v>
      </c>
      <c r="M40" s="63" t="s">
        <v>68</v>
      </c>
      <c r="N40" s="63"/>
      <c r="O40" s="63"/>
      <c r="P40" s="6"/>
      <c r="Q40" s="6"/>
      <c r="R40" s="6"/>
      <c r="S40" s="6"/>
      <c r="T40" s="6"/>
      <c r="U40" s="6"/>
    </row>
    <row r="41" spans="1:21" ht="16" customHeight="1" thickBot="1" x14ac:dyDescent="0.4">
      <c r="A41" s="4"/>
      <c r="B41" s="7" t="s">
        <v>69</v>
      </c>
      <c r="C41" s="37"/>
      <c r="D41" s="4"/>
      <c r="E41" s="4"/>
      <c r="F41" s="4"/>
      <c r="G41" s="120"/>
      <c r="H41" s="6"/>
      <c r="I41" s="22"/>
      <c r="J41" s="62" t="s">
        <v>70</v>
      </c>
      <c r="K41" s="25">
        <v>78.10123456790123</v>
      </c>
      <c r="L41" s="25">
        <v>1.3270270270270272</v>
      </c>
      <c r="M41" s="63" t="s">
        <v>71</v>
      </c>
      <c r="N41" s="68" t="s">
        <v>72</v>
      </c>
      <c r="O41" s="68"/>
      <c r="P41" s="6"/>
      <c r="Q41" s="6"/>
      <c r="R41" s="6"/>
      <c r="S41" s="6"/>
      <c r="T41" s="6"/>
      <c r="U41" s="6"/>
    </row>
    <row r="42" spans="1:21" ht="16" customHeight="1" thickTop="1" thickBot="1" x14ac:dyDescent="0.4">
      <c r="A42" s="4"/>
      <c r="B42" s="56" t="s">
        <v>73</v>
      </c>
      <c r="C42" s="34" t="s">
        <v>27</v>
      </c>
      <c r="D42" s="61" t="s">
        <v>74</v>
      </c>
      <c r="E42" s="4"/>
      <c r="F42" s="4"/>
      <c r="G42" s="120"/>
      <c r="H42" s="6"/>
      <c r="I42" s="6"/>
      <c r="J42" s="65" t="s">
        <v>27</v>
      </c>
      <c r="K42" s="6"/>
      <c r="L42" s="6"/>
      <c r="M42" s="6"/>
      <c r="N42" s="6"/>
      <c r="O42" s="6"/>
      <c r="P42" s="6"/>
      <c r="Q42" s="6"/>
      <c r="R42" s="6"/>
      <c r="S42" s="6"/>
      <c r="T42" s="6"/>
      <c r="U42" s="6"/>
    </row>
    <row r="43" spans="1:21" ht="16" customHeight="1" thickTop="1" thickBot="1" x14ac:dyDescent="0.4">
      <c r="A43" s="4"/>
      <c r="B43" s="56" t="str">
        <f>IF(C42="Enter my own","Enter biodiesel estimate [USD/tonne biodiesel] -&gt;","")</f>
        <v/>
      </c>
      <c r="C43" s="34">
        <v>1200</v>
      </c>
      <c r="D43" s="4"/>
      <c r="E43" s="4"/>
      <c r="F43" s="4"/>
      <c r="G43" s="120"/>
      <c r="H43" s="6"/>
      <c r="I43" s="6"/>
      <c r="J43" s="6"/>
      <c r="K43" s="6"/>
      <c r="L43" s="6"/>
      <c r="M43" s="6"/>
      <c r="N43" s="6"/>
      <c r="O43" s="6"/>
      <c r="P43" s="6"/>
      <c r="Q43" s="6"/>
      <c r="R43" s="6"/>
      <c r="S43" s="6"/>
      <c r="T43" s="6"/>
      <c r="U43" s="6"/>
    </row>
    <row r="44" spans="1:21" ht="16" customHeight="1" thickTop="1" x14ac:dyDescent="0.4">
      <c r="A44" s="4"/>
      <c r="B44" s="4"/>
      <c r="C44" s="4"/>
      <c r="D44" s="4"/>
      <c r="E44" s="4"/>
      <c r="F44" s="4"/>
      <c r="G44" s="120"/>
      <c r="H44" s="6"/>
      <c r="I44" s="6"/>
      <c r="J44" s="57" t="s">
        <v>75</v>
      </c>
      <c r="K44" s="6"/>
      <c r="L44" s="6"/>
      <c r="M44" s="6"/>
      <c r="N44" s="6"/>
      <c r="O44" s="6"/>
      <c r="P44" s="6"/>
      <c r="Q44" s="6"/>
      <c r="R44" s="6"/>
      <c r="S44" s="6"/>
      <c r="T44" s="6"/>
      <c r="U44" s="6"/>
    </row>
    <row r="45" spans="1:21" ht="16" customHeight="1" thickBot="1" x14ac:dyDescent="0.45">
      <c r="A45" s="4"/>
      <c r="B45" s="7" t="s">
        <v>177</v>
      </c>
      <c r="C45" s="37"/>
      <c r="D45" s="4"/>
      <c r="E45" s="4"/>
      <c r="F45" s="4"/>
      <c r="G45" s="120"/>
      <c r="H45" s="6"/>
      <c r="I45" s="6"/>
      <c r="J45" s="66" t="s">
        <v>76</v>
      </c>
      <c r="K45" s="59" t="s">
        <v>77</v>
      </c>
      <c r="L45" s="59" t="s">
        <v>78</v>
      </c>
      <c r="M45" s="60" t="s">
        <v>64</v>
      </c>
      <c r="N45" s="60" t="s">
        <v>31</v>
      </c>
      <c r="O45" s="60"/>
      <c r="P45" s="6"/>
      <c r="Q45" s="6"/>
      <c r="R45" s="6"/>
      <c r="S45" s="6"/>
      <c r="T45" s="6"/>
      <c r="U45" s="6"/>
    </row>
    <row r="46" spans="1:21" ht="16" customHeight="1" thickTop="1" thickBot="1" x14ac:dyDescent="0.4">
      <c r="A46" s="4"/>
      <c r="B46" s="56" t="s">
        <v>171</v>
      </c>
      <c r="C46" s="34" t="s">
        <v>169</v>
      </c>
      <c r="D46" s="61" t="s">
        <v>56</v>
      </c>
      <c r="E46" s="4"/>
      <c r="F46" s="4"/>
      <c r="G46" s="120"/>
      <c r="H46" s="6"/>
      <c r="I46" s="6"/>
      <c r="J46" s="67" t="s">
        <v>79</v>
      </c>
      <c r="K46" s="99" t="s">
        <v>26</v>
      </c>
      <c r="L46" s="6">
        <v>91.16</v>
      </c>
      <c r="M46" s="55" t="s">
        <v>58</v>
      </c>
      <c r="N46" s="68" t="s">
        <v>80</v>
      </c>
      <c r="O46" s="68"/>
      <c r="P46" s="6"/>
      <c r="Q46" s="6"/>
      <c r="R46" s="70"/>
      <c r="S46" s="6"/>
      <c r="T46" s="6"/>
      <c r="U46" s="6"/>
    </row>
    <row r="47" spans="1:21" ht="16" customHeight="1" thickTop="1" thickBot="1" x14ac:dyDescent="0.4">
      <c r="A47" s="4"/>
      <c r="B47" s="56" t="str">
        <f>IF(C46="Enter my own","Enter electricity cost estimate [USD/MWh] -&gt;","")</f>
        <v/>
      </c>
      <c r="C47" s="34">
        <v>100</v>
      </c>
      <c r="D47" s="4"/>
      <c r="E47" s="4"/>
      <c r="F47" s="4"/>
      <c r="G47" s="120"/>
      <c r="H47" s="6"/>
      <c r="I47" s="6"/>
      <c r="J47" s="67" t="s">
        <v>81</v>
      </c>
      <c r="K47" s="100" t="s">
        <v>82</v>
      </c>
      <c r="L47" s="26">
        <v>2400</v>
      </c>
      <c r="M47" s="69" t="s">
        <v>83</v>
      </c>
      <c r="N47" s="68" t="s">
        <v>84</v>
      </c>
      <c r="O47" s="68"/>
      <c r="P47" s="6"/>
      <c r="Q47" s="6"/>
      <c r="R47" s="6"/>
      <c r="S47" s="6"/>
      <c r="T47" s="6"/>
      <c r="U47" s="6"/>
    </row>
    <row r="48" spans="1:21" ht="16" customHeight="1" thickTop="1" x14ac:dyDescent="0.35">
      <c r="A48" s="4"/>
      <c r="B48" s="4"/>
      <c r="C48" s="4"/>
      <c r="D48" s="4"/>
      <c r="E48" s="4"/>
      <c r="F48" s="4"/>
      <c r="G48" s="120"/>
      <c r="H48" s="6"/>
      <c r="I48" s="6"/>
      <c r="J48" s="67" t="s">
        <v>85</v>
      </c>
      <c r="K48" s="99" t="s">
        <v>86</v>
      </c>
      <c r="L48" s="25">
        <v>1.1382000000000001</v>
      </c>
      <c r="M48" s="71" t="s">
        <v>87</v>
      </c>
      <c r="N48" s="68" t="s">
        <v>88</v>
      </c>
      <c r="O48" s="68"/>
      <c r="P48" s="6"/>
      <c r="Q48" s="6"/>
      <c r="R48" s="6"/>
      <c r="S48" s="70"/>
      <c r="T48" s="70"/>
      <c r="U48" s="6"/>
    </row>
    <row r="49" spans="1:21" ht="16" customHeight="1" thickBot="1" x14ac:dyDescent="0.4">
      <c r="A49" s="4"/>
      <c r="B49" s="7" t="s">
        <v>89</v>
      </c>
      <c r="C49" s="37"/>
      <c r="D49" s="4"/>
      <c r="E49" s="4"/>
      <c r="F49" s="4"/>
      <c r="G49" s="120"/>
      <c r="H49" s="6"/>
      <c r="I49" s="6"/>
      <c r="J49" s="67" t="s">
        <v>90</v>
      </c>
      <c r="K49" s="99" t="s">
        <v>178</v>
      </c>
      <c r="L49" s="101">
        <v>0.27777800000000002</v>
      </c>
      <c r="M49" s="6"/>
      <c r="N49" s="68" t="s">
        <v>91</v>
      </c>
      <c r="O49" s="68"/>
      <c r="P49" s="6"/>
      <c r="Q49" s="6"/>
      <c r="R49" s="70"/>
      <c r="S49" s="6"/>
      <c r="T49" s="6"/>
      <c r="U49" s="6"/>
    </row>
    <row r="50" spans="1:21" ht="16" customHeight="1" thickTop="1" thickBot="1" x14ac:dyDescent="0.4">
      <c r="A50" s="4"/>
      <c r="B50" s="56" t="s">
        <v>92</v>
      </c>
      <c r="C50" s="34" t="s">
        <v>27</v>
      </c>
      <c r="D50" s="61" t="s">
        <v>57</v>
      </c>
      <c r="E50" s="4"/>
      <c r="F50" s="4"/>
      <c r="G50" s="120"/>
      <c r="H50" s="6"/>
      <c r="I50" s="6"/>
      <c r="J50" s="67" t="s">
        <v>93</v>
      </c>
      <c r="K50" s="99" t="s">
        <v>24</v>
      </c>
      <c r="L50" s="102">
        <f>1.024</f>
        <v>1.024</v>
      </c>
      <c r="M50" s="63" t="s">
        <v>94</v>
      </c>
      <c r="N50" s="68" t="s">
        <v>95</v>
      </c>
      <c r="O50" s="68"/>
      <c r="P50" s="6"/>
      <c r="Q50" s="70"/>
      <c r="R50" s="70"/>
      <c r="S50" s="70"/>
      <c r="T50" s="70"/>
      <c r="U50" s="6"/>
    </row>
    <row r="51" spans="1:21" ht="16" customHeight="1" thickTop="1" thickBot="1" x14ac:dyDescent="0.4">
      <c r="A51" s="4"/>
      <c r="B51" s="56" t="str">
        <f>IF(C50="Enter my own","Enter EUA estimate [USD/tonne CO2e] -&gt;","")</f>
        <v/>
      </c>
      <c r="C51" s="34">
        <v>100</v>
      </c>
      <c r="D51" s="88"/>
      <c r="E51" s="88"/>
      <c r="F51" s="88"/>
      <c r="G51" s="120"/>
      <c r="H51" s="6"/>
      <c r="I51" s="6"/>
      <c r="J51" s="6"/>
      <c r="K51" s="6"/>
      <c r="L51" s="6"/>
      <c r="M51" s="6"/>
      <c r="N51" s="6"/>
      <c r="O51" s="6"/>
      <c r="P51" s="6"/>
      <c r="Q51" s="6"/>
      <c r="R51" s="6"/>
      <c r="S51" s="70"/>
      <c r="T51" s="70"/>
      <c r="U51" s="6"/>
    </row>
    <row r="52" spans="1:21" ht="16" customHeight="1" thickTop="1" x14ac:dyDescent="0.35">
      <c r="A52" s="4"/>
      <c r="B52" s="56"/>
      <c r="C52" s="56"/>
      <c r="D52" s="88"/>
      <c r="E52" s="88"/>
      <c r="F52" s="88"/>
      <c r="G52" s="120"/>
      <c r="H52" s="6"/>
      <c r="I52" s="6"/>
      <c r="J52" s="6"/>
      <c r="K52" s="6"/>
      <c r="L52" s="6"/>
      <c r="M52" s="6"/>
      <c r="N52" s="6"/>
      <c r="O52" s="6"/>
      <c r="P52" s="6"/>
      <c r="Q52" s="6"/>
      <c r="R52" s="6"/>
      <c r="S52" s="6"/>
      <c r="T52" s="6"/>
      <c r="U52" s="6"/>
    </row>
    <row r="53" spans="1:21" ht="19" customHeight="1" x14ac:dyDescent="0.4">
      <c r="A53" s="4"/>
      <c r="B53" s="4"/>
      <c r="C53" s="4"/>
      <c r="D53" s="4"/>
      <c r="E53" s="4"/>
      <c r="F53" s="4"/>
      <c r="G53" s="5"/>
      <c r="H53" s="6"/>
      <c r="I53" s="6"/>
      <c r="J53" s="57" t="s">
        <v>96</v>
      </c>
      <c r="K53" s="6"/>
      <c r="L53" s="6"/>
      <c r="M53" s="6"/>
      <c r="N53" s="6"/>
      <c r="O53" s="6"/>
      <c r="P53" s="6"/>
      <c r="Q53" s="6"/>
      <c r="R53" s="6"/>
      <c r="S53" s="6"/>
      <c r="T53" s="6"/>
      <c r="U53" s="6"/>
    </row>
    <row r="54" spans="1:21" ht="20" customHeight="1" x14ac:dyDescent="0.35">
      <c r="A54" s="29"/>
      <c r="B54" s="28" t="s">
        <v>97</v>
      </c>
      <c r="C54" s="29"/>
      <c r="D54" s="29"/>
      <c r="E54" s="29"/>
      <c r="F54" s="29"/>
      <c r="G54" s="5"/>
      <c r="H54" s="6"/>
      <c r="I54" s="6"/>
      <c r="J54" s="103" t="s">
        <v>98</v>
      </c>
      <c r="K54" s="106" t="s">
        <v>99</v>
      </c>
      <c r="L54" s="106" t="s">
        <v>100</v>
      </c>
      <c r="M54" s="106" t="s">
        <v>45</v>
      </c>
      <c r="N54" s="106" t="s">
        <v>101</v>
      </c>
      <c r="O54" s="106" t="s">
        <v>102</v>
      </c>
      <c r="P54" s="6"/>
      <c r="Q54" s="6"/>
      <c r="R54" s="6"/>
      <c r="S54" s="6"/>
      <c r="T54" s="6"/>
      <c r="U54" s="6"/>
    </row>
    <row r="55" spans="1:21" ht="15.65" customHeight="1" x14ac:dyDescent="0.35">
      <c r="A55" s="4"/>
      <c r="B55" s="116" t="str">
        <f>"An "&amp;C22&amp;" vessel with annual LSFO consumption subject to FuelEU/ETS of "&amp;C15&amp;" tonnes per year, biodiesel consumption of "&amp;C16&amp;" tonnes per year, and which uses OPS in EU ports for "&amp;C19&amp;" hours per year will have a compliance "&amp;IF(E97&gt;0,"surplus","deficit")&amp;" which will lead to a penalty of "&amp;ROUND(E110/1000,0)&amp;" thousand USD. The total fuel, OPS, ETS, and penalty costs wil be "&amp;ROUND(SUM(E107:E110)/1000,0)&amp;" thousand USD per year."</f>
        <v>An Ro-Ro vessel with annual LSFO consumption subject to FuelEU/ETS of 1000 tonnes per year, biodiesel consumption of 0 tonnes per year, and which uses OPS in EU ports for 500 hours per year will have a compliance deficit which will lead to a penalty of 5 thousand USD. The total fuel, OPS, ETS, and penalty costs wil be 901 thousand USD per year.</v>
      </c>
      <c r="C55" s="116"/>
      <c r="D55" s="29"/>
      <c r="E55" s="29"/>
      <c r="F55" s="29"/>
      <c r="G55" s="5"/>
      <c r="H55" s="6"/>
      <c r="I55" s="6"/>
      <c r="J55" s="67" t="s">
        <v>43</v>
      </c>
      <c r="K55" s="25">
        <v>0.35199999999999998</v>
      </c>
      <c r="L55" s="25">
        <v>0.47599999999999998</v>
      </c>
      <c r="M55" s="25">
        <v>0.64600000000000002</v>
      </c>
      <c r="N55" s="25">
        <v>0.83399999999999996</v>
      </c>
      <c r="O55" s="25">
        <v>1.032</v>
      </c>
      <c r="P55" s="6"/>
      <c r="Q55" s="6"/>
      <c r="R55" s="6"/>
      <c r="S55" s="6"/>
      <c r="T55" s="6"/>
      <c r="U55" s="6"/>
    </row>
    <row r="56" spans="1:21" ht="15.65" customHeight="1" x14ac:dyDescent="0.35">
      <c r="A56" s="29"/>
      <c r="B56" s="116"/>
      <c r="C56" s="116"/>
      <c r="D56" s="29"/>
      <c r="E56" s="29"/>
      <c r="F56" s="29"/>
      <c r="G56" s="5"/>
      <c r="H56" s="6"/>
      <c r="I56" s="6"/>
      <c r="J56" s="67" t="s">
        <v>103</v>
      </c>
      <c r="K56" s="25">
        <v>0.53100000000000003</v>
      </c>
      <c r="L56" s="25">
        <v>0.72299999999999998</v>
      </c>
      <c r="M56" s="25">
        <v>0.86399999999999999</v>
      </c>
      <c r="N56" s="25">
        <v>1.4339999999999999</v>
      </c>
      <c r="O56" s="25">
        <v>1.536</v>
      </c>
      <c r="P56" s="6"/>
      <c r="Q56" s="6"/>
      <c r="R56" s="6"/>
      <c r="S56" s="6"/>
      <c r="T56" s="6"/>
      <c r="U56" s="6"/>
    </row>
    <row r="57" spans="1:21" ht="15.65" customHeight="1" x14ac:dyDescent="0.35">
      <c r="A57" s="29"/>
      <c r="B57" s="116"/>
      <c r="C57" s="116"/>
      <c r="D57" s="29"/>
      <c r="E57" s="29"/>
      <c r="F57" s="29"/>
      <c r="G57" s="5"/>
      <c r="H57" s="6"/>
      <c r="I57" s="6"/>
      <c r="J57" s="67" t="s">
        <v>104</v>
      </c>
      <c r="K57" s="25">
        <v>0.66700000000000004</v>
      </c>
      <c r="L57" s="25">
        <v>0.83599999999999997</v>
      </c>
      <c r="M57" s="25">
        <v>1.0780000000000001</v>
      </c>
      <c r="N57" s="25">
        <v>2.8159999999999998</v>
      </c>
      <c r="O57" s="25">
        <v>3.556</v>
      </c>
      <c r="P57" s="6"/>
      <c r="Q57" s="6"/>
      <c r="R57" s="6"/>
      <c r="S57" s="6"/>
      <c r="T57" s="6"/>
      <c r="U57" s="6"/>
    </row>
    <row r="58" spans="1:21" ht="15.65" customHeight="1" x14ac:dyDescent="0.35">
      <c r="A58" s="29"/>
      <c r="B58" s="116"/>
      <c r="C58" s="116"/>
      <c r="D58" s="29"/>
      <c r="E58" s="29"/>
      <c r="F58" s="29"/>
      <c r="G58" s="5"/>
      <c r="H58" s="6"/>
      <c r="I58" s="6"/>
      <c r="J58" s="67" t="s">
        <v>105</v>
      </c>
      <c r="K58" s="25">
        <v>0.13200000000000001</v>
      </c>
      <c r="L58" s="25">
        <v>0.19700000000000001</v>
      </c>
      <c r="M58" s="25">
        <v>0.26100000000000001</v>
      </c>
      <c r="N58" s="25">
        <v>0.35</v>
      </c>
      <c r="O58" s="25">
        <v>0.438</v>
      </c>
      <c r="P58" s="6"/>
      <c r="Q58" s="6"/>
      <c r="R58" s="6"/>
      <c r="S58" s="6"/>
      <c r="T58" s="6"/>
      <c r="U58" s="6"/>
    </row>
    <row r="59" spans="1:21" ht="15.65" customHeight="1" x14ac:dyDescent="0.35">
      <c r="A59" s="29"/>
      <c r="B59" s="116"/>
      <c r="C59" s="116"/>
      <c r="D59" s="29"/>
      <c r="E59" s="29"/>
      <c r="F59" s="29"/>
      <c r="G59" s="5"/>
      <c r="H59" s="6"/>
      <c r="I59" s="6"/>
      <c r="J59" s="67" t="s">
        <v>106</v>
      </c>
      <c r="K59" s="25">
        <v>0.14899999999999999</v>
      </c>
      <c r="L59" s="25">
        <v>0.25900000000000001</v>
      </c>
      <c r="M59" s="25">
        <v>0.41599999999999998</v>
      </c>
      <c r="N59" s="25">
        <v>0.57899999999999996</v>
      </c>
      <c r="O59" s="25">
        <v>0.70399999999999996</v>
      </c>
      <c r="P59" s="6"/>
      <c r="Q59" s="6"/>
      <c r="R59" s="6"/>
      <c r="S59" s="6"/>
      <c r="T59" s="6"/>
      <c r="U59" s="6"/>
    </row>
    <row r="60" spans="1:21" ht="15.65" customHeight="1" x14ac:dyDescent="0.35">
      <c r="A60" s="29"/>
      <c r="B60" s="116" t="str">
        <f>IF(E97&gt;0,"With the given energy mix, the vessel has a compliance surplus of "&amp;ROUND(E97,0)&amp;" tonnes CO2e that can be banked or pooled to generate value.","")</f>
        <v/>
      </c>
      <c r="C60" s="117" t="s">
        <v>107</v>
      </c>
      <c r="D60" s="29"/>
      <c r="E60" s="29"/>
      <c r="F60" s="29"/>
      <c r="G60" s="5"/>
      <c r="H60" s="6"/>
      <c r="I60" s="6"/>
      <c r="J60" s="67" t="s">
        <v>108</v>
      </c>
      <c r="K60" s="25">
        <v>0.33200000000000002</v>
      </c>
      <c r="L60" s="25">
        <v>0.47299999999999998</v>
      </c>
      <c r="M60" s="25">
        <v>0.86399999999999999</v>
      </c>
      <c r="N60" s="25">
        <v>1.5349999999999999</v>
      </c>
      <c r="O60" s="25">
        <v>2.2949999999999999</v>
      </c>
      <c r="P60" s="6"/>
      <c r="Q60" s="6"/>
      <c r="R60" s="6"/>
      <c r="S60" s="6"/>
      <c r="T60" s="6"/>
      <c r="U60" s="6"/>
    </row>
    <row r="61" spans="1:21" ht="15.65" customHeight="1" x14ac:dyDescent="0.35">
      <c r="A61" s="29"/>
      <c r="B61" s="116"/>
      <c r="C61" s="117"/>
      <c r="D61" s="29"/>
      <c r="E61" s="29"/>
      <c r="F61" s="29"/>
      <c r="G61" s="5"/>
      <c r="H61" s="6"/>
      <c r="I61" s="6"/>
      <c r="J61" s="67" t="s">
        <v>109</v>
      </c>
      <c r="K61" s="25">
        <v>0.21299999999999999</v>
      </c>
      <c r="L61" s="25">
        <v>0.41499999999999998</v>
      </c>
      <c r="M61" s="25">
        <v>0.52900000000000003</v>
      </c>
      <c r="N61" s="25">
        <v>0.66800000000000004</v>
      </c>
      <c r="O61" s="25">
        <v>0.73599999999999999</v>
      </c>
      <c r="P61" s="6"/>
      <c r="Q61" s="6"/>
      <c r="R61" s="6"/>
      <c r="S61" s="6"/>
      <c r="T61" s="6"/>
      <c r="U61" s="6"/>
    </row>
    <row r="62" spans="1:21" ht="15.65" customHeight="1" x14ac:dyDescent="0.35">
      <c r="A62" s="29"/>
      <c r="B62" s="116"/>
      <c r="C62" s="29"/>
      <c r="D62" s="29"/>
      <c r="E62" s="29"/>
      <c r="F62" s="29"/>
      <c r="G62" s="5"/>
      <c r="H62" s="6"/>
      <c r="I62" s="6"/>
      <c r="J62" s="67" t="s">
        <v>110</v>
      </c>
      <c r="K62" s="25">
        <v>0.31900000000000001</v>
      </c>
      <c r="L62" s="25">
        <v>0.54200000000000004</v>
      </c>
      <c r="M62" s="25">
        <v>0.67200000000000004</v>
      </c>
      <c r="N62" s="25">
        <v>0.8</v>
      </c>
      <c r="O62" s="25">
        <v>0.96</v>
      </c>
      <c r="P62" s="6"/>
      <c r="Q62" s="6"/>
      <c r="R62" s="6"/>
      <c r="S62" s="6"/>
      <c r="T62" s="6"/>
      <c r="U62" s="6"/>
    </row>
    <row r="63" spans="1:21" ht="15.65" customHeight="1" x14ac:dyDescent="0.4">
      <c r="A63" s="29"/>
      <c r="B63" s="94"/>
      <c r="C63" s="29"/>
      <c r="D63" s="29"/>
      <c r="E63" s="29"/>
      <c r="F63" s="29"/>
      <c r="G63" s="5"/>
      <c r="H63" s="6"/>
      <c r="I63" s="6"/>
      <c r="J63" s="6"/>
      <c r="K63" s="6"/>
      <c r="L63" s="6"/>
      <c r="M63" s="6"/>
      <c r="N63" s="107" t="s">
        <v>64</v>
      </c>
      <c r="O63" s="63" t="s">
        <v>111</v>
      </c>
      <c r="P63" s="6"/>
      <c r="Q63" s="6"/>
      <c r="R63" s="6"/>
      <c r="S63" s="6"/>
      <c r="T63" s="6"/>
      <c r="U63" s="6"/>
    </row>
    <row r="64" spans="1:21" ht="15.65" customHeight="1" x14ac:dyDescent="0.4">
      <c r="A64" s="29"/>
      <c r="B64" s="29"/>
      <c r="C64" s="29"/>
      <c r="D64" s="29"/>
      <c r="E64" s="29"/>
      <c r="F64" s="29"/>
      <c r="G64" s="5"/>
      <c r="H64" s="6"/>
      <c r="I64" s="6"/>
      <c r="J64" s="57" t="s">
        <v>112</v>
      </c>
      <c r="K64" s="6"/>
      <c r="L64" s="6"/>
      <c r="M64" s="6"/>
      <c r="N64" s="6"/>
      <c r="O64" s="6"/>
      <c r="P64" s="6"/>
      <c r="Q64" s="6"/>
      <c r="R64" s="6"/>
      <c r="S64" s="6"/>
      <c r="T64" s="6"/>
      <c r="U64" s="6"/>
    </row>
    <row r="65" spans="1:21" ht="25.5" customHeight="1" x14ac:dyDescent="0.4">
      <c r="A65" s="29"/>
      <c r="B65" s="72" t="s">
        <v>113</v>
      </c>
      <c r="C65" s="39"/>
      <c r="D65" s="39"/>
      <c r="E65" s="39"/>
      <c r="F65" s="29"/>
      <c r="G65" s="5"/>
      <c r="H65" s="6"/>
      <c r="I65" s="6"/>
      <c r="J65" s="104"/>
      <c r="K65" s="105" t="s">
        <v>114</v>
      </c>
      <c r="L65" s="105" t="s">
        <v>115</v>
      </c>
      <c r="M65" s="105" t="s">
        <v>167</v>
      </c>
      <c r="N65" s="105" t="s">
        <v>115</v>
      </c>
      <c r="O65" s="60" t="s">
        <v>31</v>
      </c>
      <c r="P65" s="6"/>
      <c r="Q65" s="6"/>
      <c r="R65" s="6"/>
      <c r="S65" s="6"/>
      <c r="T65" s="6"/>
      <c r="U65" s="6"/>
    </row>
    <row r="66" spans="1:21" ht="17.5" customHeight="1" x14ac:dyDescent="0.35">
      <c r="A66" s="29"/>
      <c r="B66" s="73" t="s">
        <v>9</v>
      </c>
      <c r="C66" s="74" t="s">
        <v>116</v>
      </c>
      <c r="D66" s="75" t="s">
        <v>117</v>
      </c>
      <c r="E66" s="76" t="s">
        <v>78</v>
      </c>
      <c r="F66" s="76" t="s">
        <v>31</v>
      </c>
      <c r="G66" s="5"/>
      <c r="H66" s="6"/>
      <c r="I66" s="6"/>
      <c r="J66" s="67">
        <v>2020</v>
      </c>
      <c r="K66" s="25">
        <v>151</v>
      </c>
      <c r="L66" s="25">
        <f>K66*$L$50*$L$48</f>
        <v>175.9930368</v>
      </c>
      <c r="M66" s="25">
        <v>92</v>
      </c>
      <c r="N66" s="25">
        <f>M66*$L$50*$L$48</f>
        <v>107.22754560000001</v>
      </c>
      <c r="O66" s="118" t="s">
        <v>179</v>
      </c>
      <c r="P66" s="118"/>
      <c r="Q66" s="118"/>
      <c r="R66" s="6"/>
      <c r="S66" s="6"/>
      <c r="T66" s="6"/>
      <c r="U66" s="6"/>
    </row>
    <row r="67" spans="1:21" ht="17.5" customHeight="1" x14ac:dyDescent="0.35">
      <c r="A67" s="29"/>
      <c r="B67" s="43" t="s">
        <v>180</v>
      </c>
      <c r="C67" s="77" t="s">
        <v>58</v>
      </c>
      <c r="D67" s="78" t="s">
        <v>142</v>
      </c>
      <c r="E67" s="44">
        <f>INDEX($I$6:$S$33,MATCH($C$12,$I$6:$I$33,0),MATCH("FuelEU Target Intensity",$I$6:$S$6,0))</f>
        <v>89.336799999999997</v>
      </c>
      <c r="F67" s="29"/>
      <c r="G67" s="5"/>
      <c r="H67" s="6"/>
      <c r="I67" s="6"/>
      <c r="J67" s="67">
        <v>2030</v>
      </c>
      <c r="K67" s="25">
        <v>158</v>
      </c>
      <c r="L67" s="25">
        <f t="shared" ref="L67:L69" si="8">K67*$L$50*$L$48</f>
        <v>184.15165440000001</v>
      </c>
      <c r="M67" s="25">
        <v>101</v>
      </c>
      <c r="N67" s="25">
        <f t="shared" ref="N67:N69" si="9">M67*$L$50*$L$48</f>
        <v>117.71719680000002</v>
      </c>
      <c r="O67" s="118"/>
      <c r="P67" s="118"/>
      <c r="Q67" s="118"/>
      <c r="R67" s="6"/>
      <c r="S67" s="6"/>
      <c r="T67" s="6"/>
      <c r="U67" s="6"/>
    </row>
    <row r="68" spans="1:21" ht="17.5" customHeight="1" x14ac:dyDescent="0.35">
      <c r="A68" s="29"/>
      <c r="B68" s="29"/>
      <c r="C68" s="29"/>
      <c r="D68" s="29"/>
      <c r="E68" s="29"/>
      <c r="F68" s="29"/>
      <c r="G68" s="5"/>
      <c r="H68" s="6"/>
      <c r="I68" s="6"/>
      <c r="J68" s="67">
        <v>2040</v>
      </c>
      <c r="K68" s="25">
        <v>159</v>
      </c>
      <c r="L68" s="25">
        <f t="shared" si="8"/>
        <v>185.31717120000002</v>
      </c>
      <c r="M68" s="25">
        <v>102</v>
      </c>
      <c r="N68" s="25">
        <f t="shared" si="9"/>
        <v>118.88271360000002</v>
      </c>
      <c r="O68" s="118"/>
      <c r="P68" s="118"/>
      <c r="Q68" s="118"/>
      <c r="R68" s="6"/>
      <c r="S68" s="6"/>
      <c r="T68" s="6"/>
      <c r="U68" s="6"/>
    </row>
    <row r="69" spans="1:21" ht="17.5" customHeight="1" x14ac:dyDescent="0.35">
      <c r="A69" s="29"/>
      <c r="B69" s="73" t="s">
        <v>11</v>
      </c>
      <c r="C69" s="29"/>
      <c r="D69" s="29"/>
      <c r="E69" s="29"/>
      <c r="F69" s="29"/>
      <c r="G69" s="5"/>
      <c r="H69" s="6"/>
      <c r="I69" s="25"/>
      <c r="J69" s="67">
        <v>2050</v>
      </c>
      <c r="K69" s="25">
        <v>161</v>
      </c>
      <c r="L69" s="25">
        <f t="shared" si="8"/>
        <v>187.64820480000003</v>
      </c>
      <c r="M69" s="25">
        <v>104</v>
      </c>
      <c r="N69" s="25">
        <f t="shared" si="9"/>
        <v>121.21374720000001</v>
      </c>
      <c r="O69" s="118"/>
      <c r="P69" s="118"/>
      <c r="Q69" s="118"/>
      <c r="R69" s="6"/>
      <c r="S69" s="6"/>
      <c r="T69" s="6"/>
      <c r="U69" s="25"/>
    </row>
    <row r="70" spans="1:21" ht="14.15" customHeight="1" x14ac:dyDescent="0.35">
      <c r="A70" s="29"/>
      <c r="B70" s="43" t="s">
        <v>181</v>
      </c>
      <c r="C70" s="77" t="s">
        <v>118</v>
      </c>
      <c r="D70" s="78" t="s">
        <v>142</v>
      </c>
      <c r="E70" s="44">
        <f>$K$39</f>
        <v>91.601234567901201</v>
      </c>
      <c r="F70" s="79"/>
      <c r="G70" s="5"/>
      <c r="H70" s="6"/>
      <c r="I70" s="25"/>
      <c r="J70" s="6"/>
      <c r="K70" s="71" t="s">
        <v>56</v>
      </c>
      <c r="L70" s="71"/>
      <c r="M70" s="6"/>
      <c r="N70" s="6"/>
      <c r="O70" s="6"/>
      <c r="P70" s="6"/>
      <c r="Q70" s="6"/>
      <c r="R70" s="6"/>
      <c r="S70" s="6"/>
      <c r="T70" s="6"/>
      <c r="U70" s="25"/>
    </row>
    <row r="71" spans="1:21" ht="14.15" customHeight="1" x14ac:dyDescent="0.35">
      <c r="A71" s="39"/>
      <c r="B71" s="43" t="s">
        <v>182</v>
      </c>
      <c r="C71" s="80"/>
      <c r="D71" s="78" t="s">
        <v>119</v>
      </c>
      <c r="E71" s="44">
        <f>$E$70*$K$40</f>
        <v>3.709849999999999</v>
      </c>
      <c r="F71" s="79" t="s">
        <v>120</v>
      </c>
      <c r="G71" s="5"/>
      <c r="H71" s="6"/>
      <c r="I71" s="6"/>
      <c r="J71" s="25"/>
      <c r="K71" s="25"/>
      <c r="L71" s="6"/>
      <c r="M71" s="6"/>
      <c r="N71" s="6"/>
      <c r="O71" s="6"/>
      <c r="P71" s="6"/>
      <c r="Q71" s="6"/>
      <c r="R71" s="6"/>
      <c r="S71" s="6"/>
      <c r="T71" s="6"/>
      <c r="U71" s="25"/>
    </row>
    <row r="72" spans="1:21" ht="14.15" customHeight="1" x14ac:dyDescent="0.35">
      <c r="A72" s="29"/>
      <c r="B72" s="43" t="s">
        <v>183</v>
      </c>
      <c r="C72" s="80"/>
      <c r="D72" s="78" t="s">
        <v>21</v>
      </c>
      <c r="E72" s="45">
        <f>IF($C$38="Yes",INDEX($I$6:$R$33,MATCH($C$12,$I$6:$I$33,0),MATCH("LSFO",$I$6:$R$6,0)),$C$39/($K$40*1000))</f>
        <v>14.877049180327868</v>
      </c>
      <c r="F72" s="29"/>
      <c r="G72" s="5"/>
      <c r="H72" s="6"/>
      <c r="I72" s="6"/>
      <c r="J72" s="6"/>
      <c r="K72" s="6"/>
      <c r="L72" s="6"/>
      <c r="M72" s="6"/>
      <c r="N72" s="6"/>
      <c r="O72" s="6"/>
      <c r="P72" s="6"/>
      <c r="Q72" s="6"/>
      <c r="R72" s="6"/>
      <c r="S72" s="6"/>
      <c r="T72" s="6"/>
      <c r="U72" s="25"/>
    </row>
    <row r="73" spans="1:21" ht="14.15" customHeight="1" x14ac:dyDescent="0.35">
      <c r="A73" s="29"/>
      <c r="B73" s="29"/>
      <c r="C73" s="29"/>
      <c r="D73" s="29"/>
      <c r="E73" s="29"/>
      <c r="F73" s="29"/>
      <c r="G73" s="5"/>
      <c r="H73" s="6"/>
      <c r="I73" s="6"/>
      <c r="J73" s="6"/>
      <c r="K73" s="6"/>
      <c r="L73" s="6"/>
      <c r="M73" s="6"/>
      <c r="N73" s="6"/>
      <c r="O73" s="6"/>
      <c r="P73" s="6"/>
      <c r="Q73" s="6"/>
      <c r="R73" s="6"/>
      <c r="S73" s="6"/>
      <c r="T73" s="6"/>
      <c r="U73" s="25"/>
    </row>
    <row r="74" spans="1:21" ht="14.15" customHeight="1" x14ac:dyDescent="0.35">
      <c r="A74" s="29"/>
      <c r="B74" s="73" t="s">
        <v>63</v>
      </c>
      <c r="C74" s="81"/>
      <c r="D74" s="82"/>
      <c r="E74" s="76"/>
      <c r="F74" s="29"/>
      <c r="G74" s="5"/>
      <c r="H74" s="6"/>
      <c r="I74" s="6"/>
      <c r="J74" s="6"/>
      <c r="K74" s="6"/>
      <c r="L74" s="6"/>
      <c r="M74" s="6"/>
      <c r="N74" s="6"/>
      <c r="O74" s="6"/>
      <c r="P74" s="6"/>
      <c r="Q74" s="6"/>
      <c r="R74" s="6"/>
      <c r="S74" s="6"/>
      <c r="T74" s="6"/>
      <c r="U74" s="25"/>
    </row>
    <row r="75" spans="1:21" ht="14.15" customHeight="1" x14ac:dyDescent="0.35">
      <c r="A75" s="29"/>
      <c r="B75" s="43" t="s">
        <v>181</v>
      </c>
      <c r="C75" s="77" t="s">
        <v>118</v>
      </c>
      <c r="D75" s="78" t="s">
        <v>142</v>
      </c>
      <c r="E75" s="90">
        <f>$L$39</f>
        <v>16.227027027027027</v>
      </c>
      <c r="F75" s="79" t="s">
        <v>121</v>
      </c>
      <c r="G75" s="5"/>
      <c r="H75" s="6"/>
      <c r="I75" s="6"/>
      <c r="J75" s="6"/>
      <c r="K75" s="6"/>
      <c r="L75" s="6"/>
      <c r="M75" s="6"/>
      <c r="N75" s="6"/>
      <c r="O75" s="6"/>
      <c r="P75" s="6"/>
      <c r="Q75" s="6"/>
      <c r="R75" s="6"/>
      <c r="S75" s="6"/>
      <c r="T75" s="6"/>
      <c r="U75" s="25"/>
    </row>
    <row r="76" spans="1:21" ht="14.15" customHeight="1" x14ac:dyDescent="0.35">
      <c r="A76" s="29"/>
      <c r="B76" s="43" t="s">
        <v>182</v>
      </c>
      <c r="C76" s="80" t="s">
        <v>122</v>
      </c>
      <c r="D76" s="78" t="s">
        <v>119</v>
      </c>
      <c r="E76" s="90">
        <f>$E$75*$L$40</f>
        <v>0.60039999999999993</v>
      </c>
      <c r="F76" s="79" t="s">
        <v>120</v>
      </c>
      <c r="G76" s="5"/>
      <c r="H76" s="6"/>
      <c r="I76" s="6"/>
      <c r="J76" s="6"/>
      <c r="K76" s="6"/>
      <c r="L76" s="6"/>
      <c r="M76" s="6"/>
      <c r="N76" s="6"/>
      <c r="O76" s="6"/>
      <c r="P76" s="6"/>
      <c r="Q76" s="6"/>
      <c r="R76" s="6"/>
      <c r="S76" s="6"/>
      <c r="T76" s="6"/>
      <c r="U76" s="6"/>
    </row>
    <row r="77" spans="1:21" ht="14.15" customHeight="1" x14ac:dyDescent="0.35">
      <c r="A77" s="29"/>
      <c r="B77" s="43" t="s">
        <v>183</v>
      </c>
      <c r="C77" s="80"/>
      <c r="D77" s="78" t="s">
        <v>21</v>
      </c>
      <c r="E77" s="89">
        <f>IF($C$42="Yes",INDEX($I$6:$R$33,MATCH($C$12,$I$6:$I$33,0),MATCH("100% Biodiesel (FAME)",$I$6:$R$6,0)),$C$43/($L$40*1000))</f>
        <v>30</v>
      </c>
      <c r="F77" s="39"/>
      <c r="G77" s="5"/>
      <c r="H77" s="6"/>
      <c r="I77" s="6"/>
      <c r="J77" s="6"/>
      <c r="K77" s="6"/>
      <c r="L77" s="6"/>
      <c r="M77" s="6"/>
      <c r="N77" s="6"/>
      <c r="O77" s="6"/>
      <c r="P77" s="6"/>
      <c r="Q77" s="6"/>
      <c r="R77" s="6"/>
      <c r="S77" s="6"/>
      <c r="T77" s="6"/>
      <c r="U77" s="6"/>
    </row>
    <row r="78" spans="1:21" ht="14.15" customHeight="1" x14ac:dyDescent="0.35">
      <c r="A78" s="29"/>
      <c r="B78" s="29"/>
      <c r="C78" s="29"/>
      <c r="D78" s="29"/>
      <c r="E78" s="91"/>
      <c r="F78" s="29"/>
      <c r="G78" s="5"/>
      <c r="H78" s="6"/>
      <c r="I78" s="6"/>
      <c r="J78" s="6"/>
      <c r="K78" s="6"/>
      <c r="L78" s="6"/>
      <c r="M78" s="6"/>
      <c r="N78" s="6"/>
      <c r="O78" s="6"/>
      <c r="P78" s="6"/>
      <c r="Q78" s="6"/>
      <c r="R78" s="6"/>
      <c r="S78" s="6"/>
      <c r="T78" s="6"/>
      <c r="U78" s="6"/>
    </row>
    <row r="79" spans="1:21" ht="14.15" customHeight="1" x14ac:dyDescent="0.35">
      <c r="A79" s="29"/>
      <c r="B79" s="73" t="s">
        <v>123</v>
      </c>
      <c r="C79" s="81"/>
      <c r="D79" s="82"/>
      <c r="E79" s="92"/>
      <c r="F79" s="29"/>
      <c r="G79" s="5"/>
      <c r="H79" s="6"/>
      <c r="I79" s="6"/>
      <c r="J79" s="6"/>
      <c r="K79" s="6"/>
      <c r="L79" s="6"/>
      <c r="M79" s="6"/>
      <c r="N79" s="6"/>
      <c r="O79" s="6"/>
      <c r="P79" s="6"/>
      <c r="Q79" s="6"/>
      <c r="R79" s="6"/>
      <c r="S79" s="6"/>
      <c r="T79" s="6"/>
      <c r="U79" s="6"/>
    </row>
    <row r="80" spans="1:21" ht="15" customHeight="1" x14ac:dyDescent="0.35">
      <c r="A80" s="29"/>
      <c r="B80" s="43" t="s">
        <v>184</v>
      </c>
      <c r="C80" s="77" t="s">
        <v>118</v>
      </c>
      <c r="D80" s="78" t="s">
        <v>142</v>
      </c>
      <c r="E80" s="89">
        <v>0</v>
      </c>
      <c r="F80" s="79" t="s">
        <v>124</v>
      </c>
      <c r="G80" s="5"/>
      <c r="H80" s="6"/>
      <c r="I80" s="6"/>
      <c r="J80" s="6"/>
      <c r="K80" s="6"/>
      <c r="L80" s="6"/>
      <c r="M80" s="6"/>
      <c r="N80" s="6"/>
      <c r="O80" s="6"/>
      <c r="P80" s="6"/>
      <c r="Q80" s="6"/>
      <c r="R80" s="6"/>
      <c r="S80" s="6"/>
      <c r="T80" s="6"/>
      <c r="U80" s="6"/>
    </row>
    <row r="81" spans="1:21" ht="15" customHeight="1" x14ac:dyDescent="0.35">
      <c r="A81" s="29"/>
      <c r="B81" s="43" t="s">
        <v>185</v>
      </c>
      <c r="C81" s="80" t="str">
        <f>IF($C$46&lt;&gt;"Enter my own",$D$46,"")</f>
        <v>EU Reference Scenario (EU, 2020; pg 100)</v>
      </c>
      <c r="D81" s="78" t="s">
        <v>23</v>
      </c>
      <c r="E81" s="89">
        <f>IF($C$46="Industry",_xlfn.XLOOKUP($C$12,$I$8:$I$33,$N$8:$N$33),IF($C$46="Average",_xlfn.XLOOKUP($C$12,$I$8:$I$33,$O$8:$O$33),$C$47))</f>
        <v>112.47237120000003</v>
      </c>
      <c r="F81" s="79" t="s">
        <v>186</v>
      </c>
      <c r="G81" s="5"/>
      <c r="H81" s="6"/>
      <c r="I81" s="6"/>
      <c r="J81" s="6"/>
      <c r="K81" s="6"/>
      <c r="L81" s="6"/>
      <c r="M81" s="6"/>
      <c r="N81" s="6"/>
      <c r="O81" s="6"/>
      <c r="P81" s="6"/>
      <c r="Q81" s="6"/>
      <c r="R81" s="6"/>
      <c r="S81" s="6"/>
      <c r="T81" s="6"/>
      <c r="U81" s="6"/>
    </row>
    <row r="82" spans="1:21" ht="14.15" customHeight="1" x14ac:dyDescent="0.35">
      <c r="A82" s="29"/>
      <c r="B82" s="43" t="s">
        <v>187</v>
      </c>
      <c r="C82" s="80" t="s">
        <v>188</v>
      </c>
      <c r="D82" s="78" t="s">
        <v>21</v>
      </c>
      <c r="E82" s="89">
        <f>$E$81*$L$49</f>
        <v>31.242350327193609</v>
      </c>
      <c r="F82" s="79" t="s">
        <v>189</v>
      </c>
      <c r="G82" s="5"/>
      <c r="H82" s="6"/>
      <c r="I82" s="6"/>
      <c r="J82" s="6"/>
      <c r="K82" s="6"/>
      <c r="L82" s="6"/>
      <c r="M82" s="6"/>
      <c r="N82" s="6"/>
      <c r="O82" s="6"/>
      <c r="P82" s="6"/>
      <c r="Q82" s="6"/>
      <c r="R82" s="6"/>
      <c r="S82" s="6"/>
      <c r="T82" s="6"/>
      <c r="U82" s="6"/>
    </row>
    <row r="83" spans="1:21" ht="14.15" customHeight="1" x14ac:dyDescent="0.35">
      <c r="A83" s="29"/>
      <c r="B83" s="29"/>
      <c r="C83" s="29"/>
      <c r="D83" s="29"/>
      <c r="E83" s="91"/>
      <c r="F83" s="29"/>
      <c r="G83" s="5"/>
      <c r="H83" s="6"/>
      <c r="I83" s="6"/>
      <c r="J83" s="6"/>
      <c r="K83" s="6"/>
      <c r="L83" s="6"/>
      <c r="M83" s="6"/>
      <c r="N83" s="6"/>
      <c r="O83" s="6"/>
      <c r="P83" s="6"/>
      <c r="Q83" s="6"/>
      <c r="R83" s="6"/>
      <c r="S83" s="6"/>
      <c r="T83" s="6"/>
      <c r="U83" s="6"/>
    </row>
    <row r="84" spans="1:21" ht="14.15" customHeight="1" x14ac:dyDescent="0.35">
      <c r="A84" s="29"/>
      <c r="B84" s="73" t="s">
        <v>125</v>
      </c>
      <c r="C84" s="81"/>
      <c r="D84" s="82"/>
      <c r="E84" s="92"/>
      <c r="F84" s="29"/>
      <c r="G84" s="5"/>
      <c r="H84" s="6"/>
      <c r="I84" s="6"/>
      <c r="J84" s="6"/>
      <c r="K84" s="6"/>
      <c r="L84" s="6"/>
      <c r="M84" s="6"/>
      <c r="N84" s="6"/>
      <c r="O84" s="6"/>
      <c r="P84" s="6"/>
      <c r="Q84" s="6"/>
      <c r="R84" s="6"/>
      <c r="S84" s="6"/>
      <c r="T84" s="6"/>
      <c r="U84" s="6"/>
    </row>
    <row r="85" spans="1:21" ht="14.15" customHeight="1" x14ac:dyDescent="0.35">
      <c r="A85" s="29"/>
      <c r="B85" s="83" t="s">
        <v>190</v>
      </c>
      <c r="C85" s="80" t="s">
        <v>126</v>
      </c>
      <c r="D85" s="78" t="s">
        <v>191</v>
      </c>
      <c r="E85" s="89">
        <f>$C$15*$K$40</f>
        <v>40.5</v>
      </c>
      <c r="F85" s="79"/>
      <c r="G85" s="5"/>
      <c r="H85" s="6"/>
      <c r="I85" s="6"/>
      <c r="J85" s="6"/>
      <c r="K85" s="6"/>
      <c r="L85" s="6"/>
      <c r="M85" s="6"/>
      <c r="N85" s="6"/>
      <c r="O85" s="6"/>
      <c r="P85" s="6"/>
      <c r="Q85" s="6"/>
      <c r="R85" s="6"/>
      <c r="S85" s="6"/>
      <c r="T85" s="6"/>
      <c r="U85" s="6"/>
    </row>
    <row r="86" spans="1:21" ht="14.15" customHeight="1" x14ac:dyDescent="0.35">
      <c r="A86" s="29"/>
      <c r="B86" s="83" t="s">
        <v>127</v>
      </c>
      <c r="C86" s="80" t="s">
        <v>128</v>
      </c>
      <c r="D86" s="78" t="s">
        <v>129</v>
      </c>
      <c r="E86" s="89">
        <f>$E$85*$E$70</f>
        <v>3709.8499999999985</v>
      </c>
      <c r="F86" s="29"/>
      <c r="G86" s="5"/>
      <c r="H86" s="6"/>
      <c r="I86" s="6"/>
      <c r="J86" s="6"/>
      <c r="K86" s="6"/>
      <c r="L86" s="6"/>
      <c r="M86" s="6"/>
      <c r="N86" s="6"/>
      <c r="O86" s="6"/>
      <c r="P86" s="6"/>
      <c r="Q86" s="6"/>
      <c r="R86" s="6"/>
      <c r="S86" s="6"/>
      <c r="T86" s="6"/>
      <c r="U86" s="6"/>
    </row>
    <row r="87" spans="1:21" ht="14.15" customHeight="1" x14ac:dyDescent="0.35">
      <c r="A87" s="29"/>
      <c r="B87" s="83" t="s">
        <v>192</v>
      </c>
      <c r="C87" s="80" t="s">
        <v>126</v>
      </c>
      <c r="D87" s="78" t="s">
        <v>191</v>
      </c>
      <c r="E87" s="89">
        <f>$C$16*$L$40</f>
        <v>0</v>
      </c>
      <c r="F87" s="29"/>
      <c r="G87" s="5"/>
      <c r="H87" s="6"/>
      <c r="I87" s="6"/>
      <c r="J87" s="6"/>
      <c r="K87" s="6"/>
      <c r="L87" s="6"/>
      <c r="M87" s="6"/>
      <c r="N87" s="6"/>
      <c r="O87" s="6"/>
      <c r="P87" s="6"/>
      <c r="Q87" s="6"/>
      <c r="R87" s="6"/>
      <c r="S87" s="6"/>
      <c r="T87" s="6"/>
      <c r="U87" s="6"/>
    </row>
    <row r="88" spans="1:21" ht="14.15" customHeight="1" x14ac:dyDescent="0.35">
      <c r="A88" s="29"/>
      <c r="B88" s="83" t="s">
        <v>130</v>
      </c>
      <c r="C88" s="80" t="s">
        <v>128</v>
      </c>
      <c r="D88" s="78" t="s">
        <v>129</v>
      </c>
      <c r="E88" s="89">
        <f>$E$87*$E$75</f>
        <v>0</v>
      </c>
      <c r="F88" s="79" t="s">
        <v>131</v>
      </c>
      <c r="G88" s="5"/>
      <c r="H88" s="6"/>
      <c r="I88" s="6"/>
      <c r="J88" s="6"/>
      <c r="K88" s="6"/>
      <c r="L88" s="6"/>
      <c r="M88" s="6"/>
      <c r="N88" s="6"/>
      <c r="O88" s="6"/>
      <c r="P88" s="6"/>
      <c r="Q88" s="6"/>
      <c r="R88" s="6"/>
      <c r="S88" s="6"/>
      <c r="T88" s="6"/>
      <c r="U88" s="6"/>
    </row>
    <row r="89" spans="1:21" ht="14.15" customHeight="1" x14ac:dyDescent="0.35">
      <c r="A89" s="29"/>
      <c r="B89" s="83" t="s">
        <v>193</v>
      </c>
      <c r="C89" s="80"/>
      <c r="D89" s="78" t="s">
        <v>132</v>
      </c>
      <c r="E89" s="90">
        <f>IF($C$24="Yes",INDEX($J$54:$O$62,MATCH($C$22,$J$54:$J$62,0),MATCH($C$23,$J$54:$O$54,0)),$C$25)</f>
        <v>0.52900000000000003</v>
      </c>
      <c r="F89" s="29"/>
      <c r="G89" s="5"/>
      <c r="H89" s="6"/>
      <c r="I89" s="6"/>
      <c r="J89" s="6"/>
      <c r="K89" s="6"/>
      <c r="L89" s="6"/>
      <c r="M89" s="6"/>
      <c r="N89" s="6"/>
      <c r="O89" s="6"/>
      <c r="P89" s="6"/>
      <c r="Q89" s="6"/>
      <c r="R89" s="6"/>
      <c r="S89" s="6"/>
      <c r="T89" s="6"/>
      <c r="U89" s="6"/>
    </row>
    <row r="90" spans="1:21" ht="14.15" customHeight="1" x14ac:dyDescent="0.35">
      <c r="A90" s="29"/>
      <c r="B90" s="83" t="s">
        <v>133</v>
      </c>
      <c r="C90" s="80" t="s">
        <v>134</v>
      </c>
      <c r="D90" s="78" t="s">
        <v>135</v>
      </c>
      <c r="E90" s="89">
        <f>$E$89*$C$19</f>
        <v>264.5</v>
      </c>
      <c r="F90" s="29"/>
      <c r="G90" s="5"/>
      <c r="H90" s="6"/>
      <c r="I90" s="6"/>
      <c r="J90" s="6"/>
      <c r="K90" s="6"/>
      <c r="L90" s="6"/>
      <c r="M90" s="6"/>
      <c r="N90" s="6"/>
      <c r="O90" s="6"/>
      <c r="P90" s="6"/>
      <c r="Q90" s="6"/>
      <c r="R90" s="6"/>
      <c r="S90" s="6"/>
      <c r="T90" s="6"/>
      <c r="U90" s="6"/>
    </row>
    <row r="91" spans="1:21" ht="14.15" customHeight="1" x14ac:dyDescent="0.35">
      <c r="A91" s="29"/>
      <c r="B91" s="83" t="s">
        <v>136</v>
      </c>
      <c r="C91" s="80" t="s">
        <v>137</v>
      </c>
      <c r="D91" s="78" t="s">
        <v>191</v>
      </c>
      <c r="E91" s="108">
        <f>($E$90/$L$49)/1000</f>
        <v>0.95219923824060937</v>
      </c>
      <c r="F91" s="29"/>
      <c r="G91" s="5"/>
      <c r="H91" s="6"/>
      <c r="I91" s="6"/>
      <c r="J91" s="6"/>
      <c r="K91" s="6"/>
      <c r="L91" s="6"/>
      <c r="M91" s="6"/>
      <c r="N91" s="6"/>
      <c r="O91" s="6"/>
      <c r="P91" s="6"/>
      <c r="Q91" s="6"/>
      <c r="R91" s="6"/>
      <c r="S91" s="6"/>
      <c r="T91" s="6"/>
      <c r="U91" s="6"/>
    </row>
    <row r="92" spans="1:21" ht="14.15" customHeight="1" x14ac:dyDescent="0.35">
      <c r="A92" s="29"/>
      <c r="B92" s="79"/>
      <c r="C92" s="79"/>
      <c r="D92" s="79"/>
      <c r="E92" s="93"/>
      <c r="F92" s="79"/>
      <c r="G92" s="5"/>
      <c r="H92" s="6"/>
      <c r="I92" s="6"/>
      <c r="J92" s="6"/>
      <c r="K92" s="6"/>
      <c r="L92" s="6"/>
      <c r="M92" s="6"/>
      <c r="N92" s="6"/>
      <c r="O92" s="6"/>
      <c r="P92" s="6"/>
      <c r="Q92" s="6"/>
      <c r="R92" s="6"/>
      <c r="S92" s="6"/>
      <c r="T92" s="6"/>
      <c r="U92" s="6"/>
    </row>
    <row r="93" spans="1:21" ht="14.15" customHeight="1" x14ac:dyDescent="0.35">
      <c r="A93" s="79"/>
      <c r="B93" s="73" t="s">
        <v>138</v>
      </c>
      <c r="C93" s="29"/>
      <c r="D93" s="29"/>
      <c r="E93" s="91"/>
      <c r="F93" s="79"/>
      <c r="G93" s="5"/>
      <c r="H93" s="6"/>
      <c r="I93" s="6"/>
      <c r="J93" s="6"/>
      <c r="K93" s="6"/>
      <c r="L93" s="6"/>
      <c r="M93" s="6"/>
      <c r="N93" s="6"/>
      <c r="O93" s="6"/>
      <c r="P93" s="6"/>
      <c r="Q93" s="6"/>
      <c r="R93" s="6"/>
      <c r="S93" s="6"/>
      <c r="T93" s="6"/>
      <c r="U93" s="6"/>
    </row>
    <row r="94" spans="1:21" ht="14.15" customHeight="1" x14ac:dyDescent="0.35">
      <c r="A94" s="29"/>
      <c r="B94" s="83" t="s">
        <v>139</v>
      </c>
      <c r="C94" s="80" t="s">
        <v>194</v>
      </c>
      <c r="D94" s="78" t="s">
        <v>129</v>
      </c>
      <c r="E94" s="89">
        <f>$E$86+$E$88+$E$91*1000*$E$80</f>
        <v>3709.8499999999985</v>
      </c>
      <c r="F94" s="79"/>
      <c r="G94" s="5"/>
      <c r="H94" s="6"/>
      <c r="I94" s="6"/>
      <c r="J94" s="6"/>
      <c r="K94" s="6"/>
      <c r="L94" s="6"/>
      <c r="M94" s="6"/>
      <c r="N94" s="6"/>
      <c r="O94" s="6"/>
      <c r="P94" s="6"/>
      <c r="Q94" s="6"/>
      <c r="R94" s="6"/>
      <c r="S94" s="6"/>
      <c r="T94" s="6"/>
      <c r="U94" s="6"/>
    </row>
    <row r="95" spans="1:21" ht="14.15" customHeight="1" x14ac:dyDescent="0.35">
      <c r="A95" s="29"/>
      <c r="B95" s="83" t="s">
        <v>140</v>
      </c>
      <c r="C95" s="80" t="s">
        <v>195</v>
      </c>
      <c r="D95" s="78" t="s">
        <v>191</v>
      </c>
      <c r="E95" s="89">
        <f>$E$85+$E$87+$E$91</f>
        <v>41.45219923824061</v>
      </c>
      <c r="F95" s="79"/>
      <c r="G95" s="5"/>
      <c r="H95" s="6"/>
      <c r="I95" s="6"/>
      <c r="J95" s="6"/>
      <c r="K95" s="6"/>
      <c r="L95" s="6"/>
      <c r="M95" s="6"/>
      <c r="N95" s="6"/>
      <c r="O95" s="6"/>
      <c r="P95" s="6"/>
      <c r="Q95" s="6"/>
      <c r="R95" s="6"/>
      <c r="S95" s="6"/>
      <c r="T95" s="6"/>
      <c r="U95" s="6"/>
    </row>
    <row r="96" spans="1:21" ht="14.15" customHeight="1" x14ac:dyDescent="0.35">
      <c r="A96" s="29"/>
      <c r="B96" s="83" t="s">
        <v>141</v>
      </c>
      <c r="C96" s="80" t="s">
        <v>196</v>
      </c>
      <c r="D96" s="78" t="s">
        <v>142</v>
      </c>
      <c r="E96" s="90">
        <f>$E$94/$E$95</f>
        <v>89.497060908111635</v>
      </c>
      <c r="F96" s="79" t="s">
        <v>143</v>
      </c>
      <c r="G96" s="5"/>
      <c r="H96" s="6"/>
      <c r="I96" s="6"/>
      <c r="J96" s="6"/>
      <c r="K96" s="6"/>
      <c r="L96" s="6"/>
      <c r="M96" s="6"/>
      <c r="N96" s="6"/>
      <c r="O96" s="6"/>
      <c r="P96" s="6"/>
      <c r="Q96" s="6"/>
      <c r="R96" s="6"/>
      <c r="S96" s="6"/>
      <c r="T96" s="6"/>
      <c r="U96" s="6"/>
    </row>
    <row r="97" spans="1:21" ht="14.15" customHeight="1" x14ac:dyDescent="0.35">
      <c r="A97" s="29"/>
      <c r="B97" s="83" t="s">
        <v>51</v>
      </c>
      <c r="C97" s="80" t="s">
        <v>197</v>
      </c>
      <c r="D97" s="78" t="s">
        <v>129</v>
      </c>
      <c r="E97" s="89">
        <f>($E$67-$E$96)*$E$95</f>
        <v>-6.6431670931450055</v>
      </c>
      <c r="F97" s="79" t="s">
        <v>144</v>
      </c>
      <c r="G97" s="5"/>
      <c r="H97" s="6"/>
      <c r="I97" s="6"/>
      <c r="J97" s="6"/>
      <c r="K97" s="6"/>
      <c r="L97" s="6"/>
      <c r="M97" s="6"/>
      <c r="N97" s="6"/>
      <c r="O97" s="6"/>
      <c r="P97" s="6"/>
      <c r="Q97" s="6"/>
      <c r="R97" s="6"/>
      <c r="S97" s="6"/>
      <c r="T97" s="6"/>
      <c r="U97" s="6"/>
    </row>
    <row r="98" spans="1:21" ht="14.15" customHeight="1" x14ac:dyDescent="0.35">
      <c r="A98" s="79"/>
      <c r="B98" s="79"/>
      <c r="C98" s="79"/>
      <c r="D98" s="79"/>
      <c r="E98" s="79"/>
      <c r="F98" s="79"/>
      <c r="G98" s="5"/>
      <c r="H98" s="6"/>
      <c r="I98" s="6"/>
      <c r="J98" s="6"/>
      <c r="K98" s="6"/>
      <c r="L98" s="6"/>
      <c r="M98" s="6"/>
      <c r="N98" s="6"/>
      <c r="O98" s="6"/>
      <c r="P98" s="6"/>
      <c r="Q98" s="6"/>
      <c r="R98" s="6"/>
      <c r="S98" s="6"/>
      <c r="T98" s="6"/>
      <c r="U98" s="6"/>
    </row>
    <row r="99" spans="1:21" ht="14.15" customHeight="1" x14ac:dyDescent="0.35">
      <c r="A99" s="29"/>
      <c r="B99" s="73" t="s">
        <v>145</v>
      </c>
      <c r="C99" s="81"/>
      <c r="D99" s="82"/>
      <c r="E99" s="76"/>
      <c r="F99" s="79"/>
      <c r="G99" s="5"/>
      <c r="H99" s="6"/>
      <c r="I99" s="6"/>
      <c r="J99" s="6"/>
      <c r="K99" s="6"/>
      <c r="L99" s="6"/>
      <c r="M99" s="6"/>
      <c r="N99" s="6"/>
      <c r="O99" s="6"/>
      <c r="P99" s="6"/>
      <c r="Q99" s="6"/>
      <c r="R99" s="6"/>
      <c r="S99" s="6"/>
      <c r="T99" s="6"/>
      <c r="U99" s="6"/>
    </row>
    <row r="100" spans="1:21" ht="14.15" customHeight="1" x14ac:dyDescent="0.35">
      <c r="A100" s="29"/>
      <c r="B100" s="83" t="s">
        <v>12</v>
      </c>
      <c r="C100" s="80" t="s">
        <v>146</v>
      </c>
      <c r="D100" s="78" t="s">
        <v>147</v>
      </c>
      <c r="E100" s="89">
        <f>$E$72*($K$40*1000)</f>
        <v>602.52049180327867</v>
      </c>
      <c r="F100" s="79" t="s">
        <v>148</v>
      </c>
      <c r="G100" s="5"/>
      <c r="H100" s="6"/>
      <c r="I100" s="6"/>
      <c r="J100" s="6"/>
      <c r="K100" s="6"/>
      <c r="L100" s="6"/>
      <c r="M100" s="6"/>
      <c r="N100" s="6"/>
      <c r="O100" s="6"/>
      <c r="P100" s="6"/>
      <c r="Q100" s="6"/>
      <c r="R100" s="6"/>
      <c r="S100" s="6"/>
      <c r="T100" s="6"/>
      <c r="U100" s="6"/>
    </row>
    <row r="101" spans="1:21" ht="14.15" customHeight="1" x14ac:dyDescent="0.35">
      <c r="A101" s="29"/>
      <c r="B101" s="83" t="s">
        <v>149</v>
      </c>
      <c r="C101" s="80" t="s">
        <v>146</v>
      </c>
      <c r="D101" s="78" t="s">
        <v>150</v>
      </c>
      <c r="E101" s="89">
        <f>$E$77*($L$40*1000)</f>
        <v>1110</v>
      </c>
      <c r="F101" s="79"/>
      <c r="G101" s="5"/>
      <c r="H101" s="6"/>
      <c r="I101" s="6"/>
      <c r="J101" s="6"/>
      <c r="K101" s="6"/>
      <c r="L101" s="6"/>
      <c r="M101" s="6"/>
      <c r="N101" s="6"/>
      <c r="O101" s="6"/>
      <c r="P101" s="6"/>
      <c r="Q101" s="6"/>
      <c r="R101" s="6"/>
      <c r="S101" s="6"/>
      <c r="T101" s="6"/>
      <c r="U101" s="6"/>
    </row>
    <row r="102" spans="1:21" ht="14.15" customHeight="1" x14ac:dyDescent="0.35">
      <c r="A102" s="29"/>
      <c r="B102" s="83" t="s">
        <v>198</v>
      </c>
      <c r="C102" s="80" t="str">
        <f>IF($C$46="Yes",$D$46,"")</f>
        <v/>
      </c>
      <c r="D102" s="78" t="s">
        <v>23</v>
      </c>
      <c r="E102" s="89">
        <f>$E$81</f>
        <v>112.47237120000003</v>
      </c>
      <c r="F102" s="79"/>
      <c r="G102" s="5"/>
      <c r="H102" s="6"/>
      <c r="I102" s="6"/>
      <c r="J102" s="6"/>
      <c r="K102" s="6"/>
      <c r="L102" s="6"/>
      <c r="M102" s="6"/>
      <c r="N102" s="6"/>
      <c r="O102" s="6"/>
      <c r="P102" s="6"/>
      <c r="Q102" s="6"/>
      <c r="R102" s="6"/>
      <c r="S102" s="6"/>
      <c r="T102" s="6"/>
      <c r="U102" s="6"/>
    </row>
    <row r="103" spans="1:21" ht="14.15" customHeight="1" x14ac:dyDescent="0.35">
      <c r="A103" s="29"/>
      <c r="B103" s="83" t="str">
        <f>C12&amp;" EUA cost"</f>
        <v>2025 EUA cost</v>
      </c>
      <c r="C103" s="80" t="str">
        <f>IF($C$50="Yes",$D$50,"")</f>
        <v>Pietzcker et al., 2021</v>
      </c>
      <c r="D103" s="78" t="s">
        <v>151</v>
      </c>
      <c r="E103" s="89">
        <f>IF($C$50="Yes",INDEX($I$6:$R$33,MATCH($C$12,$I$6:$I$33,0),MATCH("ETS price projection with phase-in",$I$6:$R$6,0)),$C$51*_xlfn.XLOOKUP($C$12,$I$6:$I$33,$P$6:$P$33))</f>
        <v>83.342000000000013</v>
      </c>
      <c r="F103" s="79"/>
      <c r="G103" s="5"/>
      <c r="H103" s="6"/>
      <c r="I103" s="6"/>
      <c r="J103" s="6"/>
      <c r="K103" s="6"/>
      <c r="L103" s="6"/>
      <c r="M103" s="6"/>
      <c r="N103" s="6"/>
      <c r="O103" s="6"/>
      <c r="P103" s="6"/>
      <c r="Q103" s="6"/>
      <c r="R103" s="6"/>
      <c r="S103" s="6"/>
      <c r="T103" s="6"/>
      <c r="U103" s="6"/>
    </row>
    <row r="104" spans="1:21" ht="26.5" customHeight="1" x14ac:dyDescent="0.35">
      <c r="A104" s="29"/>
      <c r="B104" s="83" t="s">
        <v>152</v>
      </c>
      <c r="C104" s="85" t="s">
        <v>153</v>
      </c>
      <c r="D104" s="78" t="s">
        <v>154</v>
      </c>
      <c r="E104" s="45">
        <f>($L$48*$L$47)/($E$96*0.041)</f>
        <v>744.45284333774043</v>
      </c>
      <c r="F104" s="79"/>
      <c r="G104" s="5"/>
      <c r="H104" s="6"/>
      <c r="I104" s="6"/>
      <c r="J104" s="6"/>
      <c r="K104" s="6"/>
      <c r="L104" s="6"/>
      <c r="M104" s="6"/>
      <c r="N104" s="6"/>
      <c r="O104" s="6"/>
      <c r="P104" s="6"/>
      <c r="Q104" s="6"/>
      <c r="R104" s="6"/>
      <c r="S104" s="6"/>
      <c r="T104" s="6"/>
      <c r="U104" s="6"/>
    </row>
    <row r="105" spans="1:21" ht="14.15" customHeight="1" x14ac:dyDescent="0.35">
      <c r="A105" s="29"/>
      <c r="B105" s="29"/>
      <c r="C105" s="29"/>
      <c r="D105" s="29"/>
      <c r="E105" s="29"/>
      <c r="F105" s="29"/>
      <c r="G105" s="5"/>
      <c r="H105" s="6"/>
      <c r="I105" s="6"/>
      <c r="J105" s="6"/>
      <c r="K105" s="6"/>
      <c r="L105" s="6"/>
      <c r="M105" s="6"/>
      <c r="N105" s="6"/>
      <c r="O105" s="6"/>
      <c r="P105" s="6"/>
      <c r="Q105" s="70"/>
      <c r="R105" s="70"/>
      <c r="S105" s="70"/>
      <c r="T105" s="70"/>
      <c r="U105" s="6"/>
    </row>
    <row r="106" spans="1:21" ht="14.15" customHeight="1" x14ac:dyDescent="0.35">
      <c r="A106" s="29"/>
      <c r="B106" s="73" t="s">
        <v>155</v>
      </c>
      <c r="C106" s="29"/>
      <c r="D106" s="29"/>
      <c r="E106" s="29"/>
      <c r="F106" s="29"/>
      <c r="G106" s="5"/>
      <c r="H106" s="6"/>
      <c r="I106" s="6"/>
      <c r="J106" s="6"/>
      <c r="K106" s="6"/>
      <c r="L106" s="6"/>
      <c r="M106" s="6"/>
      <c r="N106" s="6"/>
      <c r="O106" s="6"/>
      <c r="P106" s="6"/>
      <c r="Q106" s="6"/>
      <c r="R106" s="6"/>
      <c r="S106" s="6"/>
      <c r="T106" s="6"/>
      <c r="U106" s="6"/>
    </row>
    <row r="107" spans="1:21" ht="14.15" customHeight="1" x14ac:dyDescent="0.35">
      <c r="A107" s="29"/>
      <c r="B107" s="43" t="s">
        <v>156</v>
      </c>
      <c r="C107" s="80" t="s">
        <v>157</v>
      </c>
      <c r="D107" s="78" t="s">
        <v>158</v>
      </c>
      <c r="E107" s="46">
        <f>($E$100*$C$15)+($E$101*$C$16)</f>
        <v>602520.49180327868</v>
      </c>
      <c r="F107" s="29"/>
      <c r="G107" s="5"/>
      <c r="H107" s="6"/>
      <c r="I107" s="6"/>
      <c r="J107" s="6"/>
      <c r="K107" s="6"/>
      <c r="L107" s="6"/>
      <c r="M107" s="6"/>
      <c r="N107" s="6"/>
      <c r="O107" s="6"/>
      <c r="P107" s="70"/>
      <c r="Q107" s="70"/>
      <c r="R107" s="70"/>
      <c r="S107" s="70"/>
      <c r="T107" s="70"/>
      <c r="U107" s="6"/>
    </row>
    <row r="108" spans="1:21" ht="14.15" customHeight="1" x14ac:dyDescent="0.35">
      <c r="A108" s="29"/>
      <c r="B108" s="83" t="s">
        <v>159</v>
      </c>
      <c r="C108" s="80" t="s">
        <v>160</v>
      </c>
      <c r="D108" s="78" t="s">
        <v>158</v>
      </c>
      <c r="E108" s="46">
        <f>($E$85*$K$41+$E$87*$L$41)*$E$103</f>
        <v>263619.08020000003</v>
      </c>
      <c r="F108" s="79" t="s">
        <v>161</v>
      </c>
      <c r="G108" s="5"/>
      <c r="H108" s="6"/>
      <c r="I108" s="6"/>
      <c r="J108" s="6"/>
      <c r="K108" s="6"/>
      <c r="L108" s="6"/>
      <c r="M108" s="6"/>
      <c r="N108" s="6"/>
      <c r="O108" s="6"/>
      <c r="P108" s="6"/>
      <c r="Q108" s="6"/>
      <c r="R108" s="6"/>
      <c r="S108" s="6"/>
      <c r="T108" s="6"/>
      <c r="U108" s="6"/>
    </row>
    <row r="109" spans="1:21" ht="14.15" customHeight="1" x14ac:dyDescent="0.35">
      <c r="A109" s="29"/>
      <c r="B109" s="83" t="s">
        <v>162</v>
      </c>
      <c r="C109" s="80" t="s">
        <v>163</v>
      </c>
      <c r="D109" s="78" t="s">
        <v>158</v>
      </c>
      <c r="E109" s="46">
        <f>$E$90*$E$81</f>
        <v>29748.942182400006</v>
      </c>
      <c r="F109" s="29"/>
      <c r="G109" s="5"/>
      <c r="H109" s="6"/>
      <c r="I109" s="6"/>
      <c r="J109" s="6"/>
      <c r="K109" s="6"/>
      <c r="L109" s="6"/>
      <c r="M109" s="6"/>
      <c r="N109" s="6"/>
      <c r="O109" s="6"/>
      <c r="P109" s="70"/>
      <c r="Q109" s="70"/>
      <c r="R109" s="70"/>
      <c r="S109" s="70"/>
      <c r="T109" s="70"/>
      <c r="U109" s="6"/>
    </row>
    <row r="110" spans="1:21" ht="14.15" customHeight="1" x14ac:dyDescent="0.35">
      <c r="A110" s="29"/>
      <c r="B110" s="83" t="s">
        <v>164</v>
      </c>
      <c r="C110" s="80" t="s">
        <v>165</v>
      </c>
      <c r="D110" s="78" t="s">
        <v>158</v>
      </c>
      <c r="E110" s="46">
        <f>IF($E$96&gt;$E$67,ABS($E$104*$E$97),0)</f>
        <v>4945.5246312595109</v>
      </c>
      <c r="F110" s="29"/>
      <c r="G110" s="5"/>
      <c r="H110" s="6"/>
      <c r="I110" s="6"/>
      <c r="J110" s="6"/>
      <c r="K110" s="6"/>
      <c r="L110" s="6"/>
      <c r="M110" s="6"/>
      <c r="N110" s="6"/>
      <c r="O110" s="6"/>
      <c r="P110" s="70"/>
      <c r="Q110" s="70"/>
      <c r="R110" s="70"/>
      <c r="S110" s="70"/>
      <c r="T110" s="70"/>
      <c r="U110" s="6"/>
    </row>
    <row r="111" spans="1:21" x14ac:dyDescent="0.35">
      <c r="A111" s="29"/>
      <c r="B111" s="29"/>
      <c r="C111" s="29"/>
      <c r="D111" s="29"/>
      <c r="E111" s="29"/>
      <c r="F111" s="29"/>
      <c r="G111" s="5"/>
      <c r="H111" s="6"/>
      <c r="I111" s="6"/>
      <c r="J111" s="6"/>
      <c r="K111" s="6"/>
      <c r="L111" s="6"/>
      <c r="M111" s="6"/>
      <c r="N111" s="6"/>
      <c r="O111" s="6"/>
      <c r="P111" s="70"/>
      <c r="Q111" s="70"/>
      <c r="R111" s="70"/>
      <c r="S111" s="70"/>
      <c r="T111" s="70"/>
      <c r="U111" s="6"/>
    </row>
    <row r="113" spans="2:6" ht="41.15" customHeight="1" x14ac:dyDescent="0.35">
      <c r="B113" s="119" t="e" vm="1">
        <v>#VALUE!</v>
      </c>
      <c r="C113" s="119"/>
      <c r="D113" s="86"/>
      <c r="F113" s="86"/>
    </row>
    <row r="114" spans="2:6" x14ac:dyDescent="0.35">
      <c r="B114" s="87"/>
    </row>
    <row r="115" spans="2:6" x14ac:dyDescent="0.35">
      <c r="B115" s="87"/>
      <c r="C115"/>
      <c r="D115" s="86"/>
      <c r="F115" s="86"/>
    </row>
    <row r="117" spans="2:6" x14ac:dyDescent="0.35">
      <c r="B117" s="87"/>
      <c r="C117"/>
      <c r="D117" s="86"/>
      <c r="F117" s="86"/>
    </row>
  </sheetData>
  <mergeCells count="15">
    <mergeCell ref="P5:R5"/>
    <mergeCell ref="B6:E6"/>
    <mergeCell ref="B7:E7"/>
    <mergeCell ref="B8:E8"/>
    <mergeCell ref="D39:F39"/>
    <mergeCell ref="G2:G52"/>
    <mergeCell ref="B4:F4"/>
    <mergeCell ref="B5:E5"/>
    <mergeCell ref="J5:M5"/>
    <mergeCell ref="N5:O5"/>
    <mergeCell ref="B55:C59"/>
    <mergeCell ref="B60:B62"/>
    <mergeCell ref="C60:C61"/>
    <mergeCell ref="O66:Q69"/>
    <mergeCell ref="B113:C113"/>
  </mergeCells>
  <conditionalFormatting sqref="C15">
    <cfRule type="expression" dxfId="9" priority="3">
      <formula>#REF!="Yes"</formula>
    </cfRule>
  </conditionalFormatting>
  <conditionalFormatting sqref="C16">
    <cfRule type="expression" dxfId="8" priority="10">
      <formula>#REF!="Yes"</formula>
    </cfRule>
  </conditionalFormatting>
  <conditionalFormatting sqref="C19">
    <cfRule type="expression" dxfId="7" priority="2">
      <formula>#REF!="Yes"</formula>
    </cfRule>
  </conditionalFormatting>
  <conditionalFormatting sqref="C22:C23">
    <cfRule type="expression" dxfId="6" priority="8">
      <formula>#REF!="Yes"</formula>
    </cfRule>
  </conditionalFormatting>
  <conditionalFormatting sqref="C25">
    <cfRule type="expression" dxfId="5" priority="9">
      <formula>$C$24="Yes"</formula>
    </cfRule>
  </conditionalFormatting>
  <conditionalFormatting sqref="C39">
    <cfRule type="expression" dxfId="4" priority="7">
      <formula>$C$38="Yes"</formula>
    </cfRule>
  </conditionalFormatting>
  <conditionalFormatting sqref="C43">
    <cfRule type="expression" dxfId="3" priority="6">
      <formula>$C$42="Yes"</formula>
    </cfRule>
  </conditionalFormatting>
  <conditionalFormatting sqref="C47">
    <cfRule type="expression" dxfId="2" priority="1">
      <formula>$C$46&lt;&gt;"Enter my own"</formula>
    </cfRule>
  </conditionalFormatting>
  <conditionalFormatting sqref="C51">
    <cfRule type="expression" dxfId="1" priority="5">
      <formula>$C$50="Yes"</formula>
    </cfRule>
  </conditionalFormatting>
  <conditionalFormatting sqref="C60">
    <cfRule type="expression" dxfId="0" priority="4">
      <formula>$E$97&lt;0</formula>
    </cfRule>
  </conditionalFormatting>
  <dataValidations count="13">
    <dataValidation type="list" operator="greaterThan" allowBlank="1" showErrorMessage="1" promptTitle="Enter total annual tonnes" sqref="C22" xr:uid="{FE262B60-D63E-4766-8F99-97D7F317D1B2}">
      <formula1>$J$55:$J$62</formula1>
    </dataValidation>
    <dataValidation type="whole" operator="greaterThan" allowBlank="1" showInputMessage="1" showErrorMessage="1" promptTitle="Electricity cost estimate" prompt="USD/MWh" sqref="C47" xr:uid="{DC8C400A-C13A-4EAF-B295-E30FADA5DC0B}">
      <formula1>0</formula1>
    </dataValidation>
    <dataValidation type="whole" operator="greaterThanOrEqual" allowBlank="1" showErrorMessage="1" promptTitle="Enter total annual tonnes" sqref="C19" xr:uid="{97339A49-486A-47A9-8818-524E0A8A0F66}">
      <formula1>0</formula1>
    </dataValidation>
    <dataValidation type="whole" operator="greaterThan" allowBlank="1" showInputMessage="1" showErrorMessage="1" promptTitle="Enter LSFO cost estimate" prompt="USD/tonne" sqref="C39" xr:uid="{D58F9BAC-6D08-40B7-B69A-52B755C0647F}">
      <formula1>0</formula1>
    </dataValidation>
    <dataValidation type="whole" operator="greaterThan" allowBlank="1" showInputMessage="1" showErrorMessage="1" promptTitle="Biodiesel cost estimate" prompt="USD/tonne" sqref="C43" xr:uid="{0033134A-7FFA-4371-B6C5-E7BEA0B8D4EA}">
      <formula1>0</formula1>
    </dataValidation>
    <dataValidation type="whole" allowBlank="1" showInputMessage="1" showErrorMessage="1" errorTitle="EUA price too high" error="EUA price must be between 0 and 2,000 USD" promptTitle="EUA price estimate" prompt="USD/tonne CO2e" sqref="C51" xr:uid="{220164CC-8E82-4F2D-8BAB-225B589A3059}">
      <formula1>0</formula1>
      <formula2>2000</formula2>
    </dataValidation>
    <dataValidation type="whole" operator="greaterThan" allowBlank="1" showErrorMessage="1" promptTitle="Enter total annual tonnes" sqref="C16" xr:uid="{074A76F9-8BE0-40F2-BA48-5908051C5DE2}">
      <formula1>-1</formula1>
    </dataValidation>
    <dataValidation type="whole" operator="greaterThan" allowBlank="1" showInputMessage="1" showErrorMessage="1" promptTitle="Enter MW" prompt="Average power demand while at berth" sqref="C25" xr:uid="{2F948FFB-4E6C-4156-BF22-166EC7961106}">
      <formula1>0</formula1>
    </dataValidation>
    <dataValidation type="list" allowBlank="1" showInputMessage="1" showErrorMessage="1" sqref="C24 C38 C50 C42" xr:uid="{53C7DC5A-B4F2-491B-B7D2-020DE0FC04BF}">
      <formula1>$V$7:$V$8</formula1>
    </dataValidation>
    <dataValidation type="whole" operator="greaterThan" allowBlank="1" showErrorMessage="1" promptTitle="Enter total annual tonnes" sqref="C15" xr:uid="{063F73E7-6256-4272-A5A3-D712A76D174B}">
      <formula1>0</formula1>
    </dataValidation>
    <dataValidation type="list" allowBlank="1" showInputMessage="1" showErrorMessage="1" sqref="C12" xr:uid="{E17B8780-302A-4778-BD14-6B74754945EE}">
      <formula1>$I$8:$I$33</formula1>
    </dataValidation>
    <dataValidation type="list" operator="greaterThan" allowBlank="1" showErrorMessage="1" promptTitle="Enter total annual tonnes" sqref="C23" xr:uid="{AA87765A-F91E-4A3A-94A6-9DE1A036EBDB}">
      <formula1>$K$54:$O$54</formula1>
    </dataValidation>
    <dataValidation type="list" allowBlank="1" showInputMessage="1" showErrorMessage="1" sqref="C46" xr:uid="{4B897834-F725-40FF-92E8-653A48EAEAE3}">
      <formula1>$W$7:$W$9</formula1>
    </dataValidation>
  </dataValidations>
  <hyperlinks>
    <hyperlink ref="M40" r:id="rId1" display="Source: FuelEU Annex II" xr:uid="{A2BD33D4-572B-46CF-A3E3-AFD9AD1F15E7}"/>
    <hyperlink ref="Q34" r:id="rId2" xr:uid="{5A0275E9-447A-4F5E-8C1C-EF279EFB9505}"/>
    <hyperlink ref="L34" r:id="rId3" display="Source: LR &amp; UMAS, 2020" xr:uid="{EFBAC48A-ED3A-4FC6-AFE5-86F3D10ACFEE}"/>
    <hyperlink ref="M39" r:id="rId4" display="Source: FuelEU Annex II" xr:uid="{5A2A30A4-0953-47AA-AEC1-D12804605AED}"/>
    <hyperlink ref="C70" r:id="rId5" display="Source: FuelEU Annex II" xr:uid="{71E41016-9F72-4752-ADA2-49C216CA2654}"/>
    <hyperlink ref="C75" r:id="rId6" display="Source: FuelEU Annex II" xr:uid="{BF9BE671-26AA-4AD3-A3D7-3859578BBABF}"/>
    <hyperlink ref="S34" r:id="rId7" display="Source: FuelEU Annex II" xr:uid="{EC047550-D4CF-4362-83F0-5D6292E375DD}"/>
    <hyperlink ref="C67" r:id="rId8" display="Source: FuelEU Annex II" xr:uid="{3D84EC03-3B8C-40F7-B2A8-FD941A01BF9C}"/>
    <hyperlink ref="M47" r:id="rId9" display="FuelEU Annex IV, pg 99" xr:uid="{2FFBF92B-01D1-4601-BBE7-371E5292208F}"/>
    <hyperlink ref="M48" r:id="rId10" xr:uid="{BF29D8C0-E8DF-4E24-B34F-1214EFA05831}"/>
    <hyperlink ref="M46" r:id="rId11" display="Source: FuelEU Annex II" xr:uid="{A2F758F2-ABAB-494C-B6D9-F84420B32137}"/>
    <hyperlink ref="M41" r:id="rId12" display="Source: Annex II (1.2) Delegated Reguation to MRV for ETS" xr:uid="{7270136A-F131-41F4-86B8-A2E27581FF1F}"/>
    <hyperlink ref="C80" r:id="rId13" display="Source: FuelEU Annex II" xr:uid="{077D1F8D-D8FF-447C-B880-827CE79AF23D}"/>
    <hyperlink ref="D42" r:id="rId14" xr:uid="{7265768C-67BF-490B-90C6-2732CFA222B1}"/>
    <hyperlink ref="D50" r:id="rId15" xr:uid="{AD346A09-3E22-419F-AEB4-D0402409C09B}"/>
    <hyperlink ref="D38" r:id="rId16" xr:uid="{57D01DA2-8594-4DE7-8D95-593003C1A4BD}"/>
    <hyperlink ref="C60" r:id="rId17" xr:uid="{69A9D49D-A74B-42FD-AEAE-36F6D2C1636E}"/>
    <hyperlink ref="O63" r:id="rId18" xr:uid="{89D61E5C-A2AC-44CD-8607-BCE411F29B5F}"/>
    <hyperlink ref="M50" r:id="rId19" xr:uid="{9EBF7422-FB7E-4E43-87D0-A631A6EA2613}"/>
    <hyperlink ref="K70" r:id="rId20" xr:uid="{4BACF559-D073-4C04-BB95-253134640D9C}"/>
    <hyperlink ref="N34" r:id="rId21" xr:uid="{CABAF91F-A989-41E9-BCE9-4002A2B309FD}"/>
    <hyperlink ref="D46" r:id="rId22" xr:uid="{6726B7C8-C59D-478A-A79E-089B38DC902E}"/>
    <hyperlink ref="J34" r:id="rId23" xr:uid="{832DDB51-34F8-40D6-9958-173128B74E4E}"/>
  </hyperlinks>
  <pageMargins left="0.7" right="0.7" top="0.75" bottom="0.75" header="0.3" footer="0.3"/>
  <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65BA3798B174FB9075562706586E7" ma:contentTypeVersion="13" ma:contentTypeDescription="Create a new document." ma:contentTypeScope="" ma:versionID="4c1eabf58a78f3f85b7400e7dae1bf2a">
  <xsd:schema xmlns:xsd="http://www.w3.org/2001/XMLSchema" xmlns:xs="http://www.w3.org/2001/XMLSchema" xmlns:p="http://schemas.microsoft.com/office/2006/metadata/properties" xmlns:ns2="83d45350-d6f3-43eb-bc3b-872e487a66ef" xmlns:ns3="bae2e4cf-1cea-45c6-bccc-ce4c78deb207" targetNamespace="http://schemas.microsoft.com/office/2006/metadata/properties" ma:root="true" ma:fieldsID="78ad1a37078c57269107bde984111a94" ns2:_="" ns3:_="">
    <xsd:import namespace="83d45350-d6f3-43eb-bc3b-872e487a66ef"/>
    <xsd:import namespace="bae2e4cf-1cea-45c6-bccc-ce4c78deb20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45350-d6f3-43eb-bc3b-872e487a66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405d3cf-f1b6-4142-bd55-078f49f7cf5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2e4cf-1cea-45c6-bccc-ce4c78deb20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0537411-e8ca-4d56-8126-6ff7b3469af7}" ma:internalName="TaxCatchAll" ma:showField="CatchAllData" ma:web="bae2e4cf-1cea-45c6-bccc-ce4c78deb20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d45350-d6f3-43eb-bc3b-872e487a66ef">
      <Terms xmlns="http://schemas.microsoft.com/office/infopath/2007/PartnerControls"/>
    </lcf76f155ced4ddcb4097134ff3c332f>
    <TaxCatchAll xmlns="bae2e4cf-1cea-45c6-bccc-ce4c78deb207" xsi:nil="true"/>
    <SharedWithUsers xmlns="bae2e4cf-1cea-45c6-bccc-ce4c78deb207">
      <UserInfo>
        <DisplayName>Joe Bettles</DisplayName>
        <AccountId>19</AccountId>
        <AccountType/>
      </UserInfo>
      <UserInfo>
        <DisplayName>Jenny Ruffell Smith</DisplayName>
        <AccountId>42</AccountId>
        <AccountType/>
      </UserInfo>
      <UserInfo>
        <DisplayName>Risiana Levie</DisplayName>
        <AccountId>248</AccountId>
        <AccountType/>
      </UserInfo>
      <UserInfo>
        <DisplayName>Asha Mahadevan</DisplayName>
        <AccountId>116</AccountId>
        <AccountType/>
      </UserInfo>
    </SharedWithUsers>
  </documentManagement>
</p:properties>
</file>

<file path=customXml/itemProps1.xml><?xml version="1.0" encoding="utf-8"?>
<ds:datastoreItem xmlns:ds="http://schemas.openxmlformats.org/officeDocument/2006/customXml" ds:itemID="{D559BD3D-76A1-4D02-9310-590FB1A066BF}">
  <ds:schemaRefs>
    <ds:schemaRef ds:uri="http://schemas.microsoft.com/sharepoint/v3/contenttype/forms"/>
  </ds:schemaRefs>
</ds:datastoreItem>
</file>

<file path=customXml/itemProps2.xml><?xml version="1.0" encoding="utf-8"?>
<ds:datastoreItem xmlns:ds="http://schemas.openxmlformats.org/officeDocument/2006/customXml" ds:itemID="{B50F3E54-8F8B-4E2F-A05D-83E3B31FFD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45350-d6f3-43eb-bc3b-872e487a66ef"/>
    <ds:schemaRef ds:uri="bae2e4cf-1cea-45c6-bccc-ce4c78deb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FC8EB0-E99E-4D89-B73E-29BDA89DDAAD}">
  <ds:schemaRefs>
    <ds:schemaRef ds:uri="http://schemas.microsoft.com/office/2006/metadata/properties"/>
    <ds:schemaRef ds:uri="http://schemas.microsoft.com/office/infopath/2007/PartnerControls"/>
    <ds:schemaRef ds:uri="83d45350-d6f3-43eb-bc3b-872e487a66ef"/>
    <ds:schemaRef ds:uri="bae2e4cf-1cea-45c6-bccc-ce4c78deb207"/>
  </ds:schemaRefs>
</ds:datastoreItem>
</file>

<file path=docMetadata/LabelInfo.xml><?xml version="1.0" encoding="utf-8"?>
<clbl:labelList xmlns:clbl="http://schemas.microsoft.com/office/2020/mipLabelMetadata">
  <clbl:label id="{e4b931d8-a288-4db6-acc7-364bc8042050}" enabled="1" method="Privileged" siteId="{5218c2a1-81cc-40ce-af99-7505143bc26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OPS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Bettles</dc:creator>
  <cp:keywords/>
  <dc:description/>
  <cp:lastModifiedBy>Joe Bettles</cp:lastModifiedBy>
  <cp:revision/>
  <dcterms:created xsi:type="dcterms:W3CDTF">2024-04-16T17:50:52Z</dcterms:created>
  <dcterms:modified xsi:type="dcterms:W3CDTF">2024-10-02T13:40:44Z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0x01010014165BA3798B174FB9075562706586E7</vt:lpwstr>
  </property>
  <property fmtid="{D5CDD505-2E9C-101B-9397-08002B2CF9AE}" pid="3" name="MediaServiceImageTags">
    <vt:lpwstr/>
  </property>
</Properties>
</file>