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zerocarbonshipping.sharepoint.com/sites/Communication-Communication/Delte dokumenter/Communication Internal/Website/01 Website 3.0/02 Publications + Insights + Project Pages/2026/"/>
    </mc:Choice>
  </mc:AlternateContent>
  <xr:revisionPtr revIDLastSave="0" documentId="8_{D2047C98-8105-41E0-A152-7CC033B8BD8C}" xr6:coauthVersionLast="47" xr6:coauthVersionMax="47" xr10:uidLastSave="{00000000-0000-0000-0000-000000000000}"/>
  <bookViews>
    <workbookView xWindow="-120" yWindow="-120" windowWidth="29040" windowHeight="17520" activeTab="1" xr2:uid="{00000000-000D-0000-FFFF-FFFF00000000}"/>
  </bookViews>
  <sheets>
    <sheet name="Cover" sheetId="9" r:id="rId1"/>
    <sheet name="Input" sheetId="10" r:id="rId2"/>
    <sheet name="Overview" sheetId="11" r:id="rId3"/>
    <sheet name="Assumptions" sheetId="12" r:id="rId4"/>
    <sheet name="Proposals" sheetId="13" r:id="rId5"/>
    <sheet name="Calculation" sheetId="14" r:id="rId6"/>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5" i="12" l="1"/>
  <c r="Y25" i="12"/>
  <c r="X25" i="12"/>
  <c r="W25" i="12"/>
  <c r="V25" i="12"/>
  <c r="U25" i="12"/>
  <c r="T25" i="12"/>
  <c r="S25" i="12"/>
  <c r="R25" i="12"/>
  <c r="Q25" i="12"/>
  <c r="P25" i="12"/>
  <c r="O25" i="12"/>
  <c r="N25" i="12"/>
  <c r="M25" i="12"/>
  <c r="L25" i="12"/>
  <c r="K25" i="12"/>
  <c r="J25" i="12"/>
  <c r="I25" i="12"/>
  <c r="H25" i="12"/>
  <c r="G25" i="12"/>
  <c r="F25" i="12"/>
  <c r="E25" i="12"/>
  <c r="K60" i="11"/>
  <c r="D15" i="10"/>
  <c r="D11" i="10"/>
  <c r="C68" i="13"/>
  <c r="D68" i="13"/>
  <c r="E68" i="13"/>
  <c r="F68" i="13"/>
  <c r="G68" i="13"/>
  <c r="H68" i="13"/>
  <c r="I68" i="13"/>
  <c r="J68" i="13"/>
  <c r="K68" i="13"/>
  <c r="L68" i="13"/>
  <c r="M68" i="13"/>
  <c r="N68" i="13"/>
  <c r="D76" i="14"/>
  <c r="D60" i="14"/>
  <c r="D46" i="14"/>
  <c r="D45" i="14"/>
  <c r="D44" i="14"/>
  <c r="K44" i="14" s="1"/>
  <c r="D40" i="14"/>
  <c r="D35" i="14"/>
  <c r="L35" i="14" s="1"/>
  <c r="D34" i="14"/>
  <c r="H34" i="14" s="1"/>
  <c r="S31" i="14"/>
  <c r="S32" i="14" s="1"/>
  <c r="R31" i="14"/>
  <c r="R32" i="14" s="1"/>
  <c r="Q31" i="14"/>
  <c r="Q32" i="14" s="1"/>
  <c r="P31" i="14"/>
  <c r="P32" i="14" s="1"/>
  <c r="O31" i="14"/>
  <c r="N31" i="14"/>
  <c r="M31" i="14"/>
  <c r="M32" i="14" s="1"/>
  <c r="L31" i="14"/>
  <c r="K31" i="14"/>
  <c r="J31" i="14"/>
  <c r="I31" i="14"/>
  <c r="I32" i="14" s="1"/>
  <c r="H31" i="14"/>
  <c r="H32" i="14" s="1"/>
  <c r="D30" i="14"/>
  <c r="S30" i="14" s="1"/>
  <c r="S27" i="14"/>
  <c r="S28" i="14" s="1"/>
  <c r="R27" i="14"/>
  <c r="Q27" i="14"/>
  <c r="P27" i="14"/>
  <c r="O27" i="14"/>
  <c r="N27" i="14"/>
  <c r="N28" i="14" s="1"/>
  <c r="M27" i="14"/>
  <c r="M28" i="14" s="1"/>
  <c r="L27" i="14"/>
  <c r="K27" i="14"/>
  <c r="J27" i="14"/>
  <c r="J28" i="14" s="1"/>
  <c r="I27" i="14"/>
  <c r="I28" i="14" s="1"/>
  <c r="H27" i="14"/>
  <c r="H28" i="14" s="1"/>
  <c r="D24" i="14"/>
  <c r="J24" i="14" s="1"/>
  <c r="J76" i="14" s="1"/>
  <c r="D19" i="14"/>
  <c r="D16" i="14"/>
  <c r="S16" i="14" s="1"/>
  <c r="S96" i="14" s="1"/>
  <c r="S12" i="14"/>
  <c r="R12" i="14"/>
  <c r="R13" i="14" s="1"/>
  <c r="Q12" i="14"/>
  <c r="Q13" i="14" s="1"/>
  <c r="P12" i="14"/>
  <c r="P13" i="14" s="1"/>
  <c r="O12" i="14"/>
  <c r="N12" i="14"/>
  <c r="M12" i="14"/>
  <c r="M13" i="14" s="1"/>
  <c r="L12" i="14"/>
  <c r="K12" i="14"/>
  <c r="K13" i="14" s="1"/>
  <c r="J12" i="14"/>
  <c r="J13" i="14" s="1"/>
  <c r="I12" i="14"/>
  <c r="I13" i="14" s="1"/>
  <c r="H12" i="14"/>
  <c r="H13" i="14" s="1"/>
  <c r="D6" i="14"/>
  <c r="B87" i="13"/>
  <c r="B81" i="13"/>
  <c r="F15" i="13"/>
  <c r="D38" i="12" s="1"/>
  <c r="E15" i="13"/>
  <c r="D15" i="13"/>
  <c r="C38" i="12" s="1"/>
  <c r="G14" i="13"/>
  <c r="E37" i="12" s="1"/>
  <c r="F14" i="13"/>
  <c r="D37" i="12" s="1"/>
  <c r="E14" i="13"/>
  <c r="D14" i="13"/>
  <c r="C37" i="12" s="1"/>
  <c r="C3" i="13"/>
  <c r="C97" i="12"/>
  <c r="C95" i="12"/>
  <c r="C91" i="12"/>
  <c r="C90" i="12"/>
  <c r="C89" i="12"/>
  <c r="J76" i="12"/>
  <c r="I76" i="12"/>
  <c r="J75" i="12"/>
  <c r="I75" i="12"/>
  <c r="J74" i="12"/>
  <c r="I74" i="12"/>
  <c r="J73" i="12"/>
  <c r="I73" i="12"/>
  <c r="J72" i="12"/>
  <c r="I72" i="12"/>
  <c r="J71" i="12"/>
  <c r="I71" i="12"/>
  <c r="J70" i="12"/>
  <c r="I70" i="12"/>
  <c r="J69" i="12"/>
  <c r="I69" i="12"/>
  <c r="C66" i="12"/>
  <c r="C65" i="12"/>
  <c r="R84" i="12" s="1"/>
  <c r="C62" i="12"/>
  <c r="C64" i="12" s="1"/>
  <c r="C58" i="12"/>
  <c r="C57" i="12"/>
  <c r="C56" i="12"/>
  <c r="C55" i="12"/>
  <c r="C54" i="12"/>
  <c r="C53" i="12"/>
  <c r="C52" i="12"/>
  <c r="C51" i="12"/>
  <c r="C50" i="12"/>
  <c r="C49" i="12"/>
  <c r="C48" i="12"/>
  <c r="C47" i="12"/>
  <c r="C46" i="12"/>
  <c r="D44" i="12"/>
  <c r="C44" i="12"/>
  <c r="D43" i="12"/>
  <c r="C43" i="12"/>
  <c r="D42" i="12"/>
  <c r="C42" i="12"/>
  <c r="D41" i="12"/>
  <c r="C41" i="12"/>
  <c r="D40" i="12"/>
  <c r="C40" i="12"/>
  <c r="D39" i="12"/>
  <c r="C39" i="12"/>
  <c r="E36" i="12"/>
  <c r="D36" i="12"/>
  <c r="C36" i="12"/>
  <c r="E35" i="12"/>
  <c r="D35" i="12"/>
  <c r="C35" i="12"/>
  <c r="E34" i="12"/>
  <c r="D34" i="12"/>
  <c r="C34" i="12"/>
  <c r="E33" i="12"/>
  <c r="D33" i="12"/>
  <c r="C33" i="12"/>
  <c r="E32" i="12"/>
  <c r="D32" i="12"/>
  <c r="C32" i="12"/>
  <c r="J5" i="12"/>
  <c r="K64" i="11"/>
  <c r="K63" i="11"/>
  <c r="K62" i="11"/>
  <c r="H62" i="11"/>
  <c r="E62" i="11"/>
  <c r="K61" i="11"/>
  <c r="H61" i="11"/>
  <c r="E61" i="11"/>
  <c r="B61" i="11"/>
  <c r="H60" i="11"/>
  <c r="E60" i="11"/>
  <c r="B60" i="11"/>
  <c r="H59" i="11"/>
  <c r="E59" i="11"/>
  <c r="B59" i="11"/>
  <c r="B54" i="11"/>
  <c r="B75" i="13" s="1"/>
  <c r="B53" i="11"/>
  <c r="B69" i="13" s="1"/>
  <c r="N16" i="11"/>
  <c r="M16" i="11"/>
  <c r="L16" i="11"/>
  <c r="K16" i="11"/>
  <c r="J16" i="11"/>
  <c r="I16" i="11"/>
  <c r="H16" i="11"/>
  <c r="G16" i="11"/>
  <c r="F16" i="11"/>
  <c r="E16" i="11"/>
  <c r="D16" i="11"/>
  <c r="C16" i="11"/>
  <c r="B16" i="11"/>
  <c r="N15" i="11"/>
  <c r="M15" i="11"/>
  <c r="L15" i="11"/>
  <c r="K15" i="11"/>
  <c r="J15" i="11"/>
  <c r="I15" i="11"/>
  <c r="H15" i="11"/>
  <c r="G15" i="11"/>
  <c r="F15" i="11"/>
  <c r="E15" i="11"/>
  <c r="D15" i="11"/>
  <c r="C15" i="11"/>
  <c r="B15" i="11"/>
  <c r="N14" i="11"/>
  <c r="M14" i="11"/>
  <c r="L14" i="11"/>
  <c r="K14" i="11"/>
  <c r="J14" i="11"/>
  <c r="I14" i="11"/>
  <c r="H14" i="11"/>
  <c r="G14" i="11"/>
  <c r="F14" i="11"/>
  <c r="E14" i="11"/>
  <c r="D14" i="11"/>
  <c r="C14" i="11"/>
  <c r="B14" i="11"/>
  <c r="N13" i="11"/>
  <c r="M13" i="11"/>
  <c r="L13" i="11"/>
  <c r="K13" i="11"/>
  <c r="J13" i="11"/>
  <c r="I13" i="11"/>
  <c r="H13" i="11"/>
  <c r="G13" i="11"/>
  <c r="F13" i="11"/>
  <c r="E13" i="11"/>
  <c r="D13" i="11"/>
  <c r="C13" i="11"/>
  <c r="B13" i="11"/>
  <c r="C49" i="10"/>
  <c r="C44" i="10"/>
  <c r="D33" i="10"/>
  <c r="D32" i="10"/>
  <c r="D31" i="10"/>
  <c r="D28" i="10"/>
  <c r="D27" i="10"/>
  <c r="D24" i="10"/>
  <c r="D23" i="10"/>
  <c r="D20" i="10"/>
  <c r="D19" i="10"/>
  <c r="D18" i="10"/>
  <c r="D17" i="10"/>
  <c r="D16" i="10"/>
  <c r="D14" i="10"/>
  <c r="D13" i="10"/>
  <c r="D12" i="10"/>
  <c r="D10" i="10"/>
  <c r="D6" i="10"/>
  <c r="D5" i="10"/>
  <c r="O40" i="14" l="1"/>
  <c r="O109" i="14" s="1"/>
  <c r="I40" i="14"/>
  <c r="I109" i="14" s="1"/>
  <c r="K40" i="14"/>
  <c r="K109" i="14" s="1"/>
  <c r="R40" i="14"/>
  <c r="R109" i="14" s="1"/>
  <c r="P40" i="14"/>
  <c r="P109" i="14" s="1"/>
  <c r="Q40" i="14"/>
  <c r="Q109" i="14" s="1"/>
  <c r="G15" i="13"/>
  <c r="E38" i="12" s="1"/>
  <c r="M40" i="14"/>
  <c r="M109" i="14" s="1"/>
  <c r="K84" i="12"/>
  <c r="N40" i="14"/>
  <c r="N109" i="14" s="1"/>
  <c r="L84" i="12"/>
  <c r="J40" i="14"/>
  <c r="J109" i="14" s="1"/>
  <c r="S84" i="12"/>
  <c r="T84" i="12"/>
  <c r="S19" i="14"/>
  <c r="S20" i="14" s="1"/>
  <c r="S68" i="14" s="1"/>
  <c r="L107" i="14"/>
  <c r="H71" i="12"/>
  <c r="K71" i="12" s="1"/>
  <c r="L71" i="12" s="1"/>
  <c r="H69" i="12"/>
  <c r="K69" i="12" s="1"/>
  <c r="H72" i="12"/>
  <c r="K72" i="12" s="1"/>
  <c r="L72" i="12" s="1"/>
  <c r="H74" i="12"/>
  <c r="K74" i="12" s="1"/>
  <c r="L74" i="12" s="1"/>
  <c r="H76" i="12"/>
  <c r="K76" i="12" s="1"/>
  <c r="L76" i="12" s="1"/>
  <c r="H44" i="14"/>
  <c r="S53" i="14"/>
  <c r="U84" i="12"/>
  <c r="H10" i="13"/>
  <c r="H16" i="14"/>
  <c r="H60" i="14" s="1"/>
  <c r="H30" i="14"/>
  <c r="J35" i="14"/>
  <c r="J107" i="14" s="1"/>
  <c r="J44" i="14"/>
  <c r="V84" i="12"/>
  <c r="H11" i="13"/>
  <c r="I16" i="14"/>
  <c r="I60" i="14" s="1"/>
  <c r="I30" i="14"/>
  <c r="K35" i="14"/>
  <c r="K36" i="14" s="1"/>
  <c r="K86" i="14" s="1"/>
  <c r="L44" i="14"/>
  <c r="W84" i="12"/>
  <c r="H12" i="13"/>
  <c r="J16" i="14"/>
  <c r="J60" i="14" s="1"/>
  <c r="L30" i="14"/>
  <c r="M44" i="14"/>
  <c r="H9" i="13"/>
  <c r="L6" i="14" s="1"/>
  <c r="L85" i="14" s="1"/>
  <c r="H15" i="13"/>
  <c r="H15" i="12" s="1"/>
  <c r="X84" i="12"/>
  <c r="K16" i="14"/>
  <c r="K96" i="14" s="1"/>
  <c r="M30" i="14"/>
  <c r="N44" i="14"/>
  <c r="H8" i="13"/>
  <c r="I44" i="14"/>
  <c r="G84" i="12"/>
  <c r="L16" i="14"/>
  <c r="L96" i="14" s="1"/>
  <c r="N30" i="14"/>
  <c r="O44" i="14"/>
  <c r="H84" i="12"/>
  <c r="P44" i="14"/>
  <c r="I84" i="12"/>
  <c r="H19" i="14"/>
  <c r="Q44" i="14"/>
  <c r="J84" i="12"/>
  <c r="O28" i="14"/>
  <c r="Q28" i="14"/>
  <c r="Q54" i="14" s="1"/>
  <c r="N13" i="14"/>
  <c r="P24" i="14"/>
  <c r="P76" i="14" s="1"/>
  <c r="L24" i="14"/>
  <c r="L76" i="14" s="1"/>
  <c r="K24" i="14"/>
  <c r="K76" i="14" s="1"/>
  <c r="S24" i="14"/>
  <c r="S76" i="14" s="1"/>
  <c r="R24" i="14"/>
  <c r="R76" i="14" s="1"/>
  <c r="Q24" i="14"/>
  <c r="Q76" i="14" s="1"/>
  <c r="O24" i="14"/>
  <c r="O76" i="14" s="1"/>
  <c r="N24" i="14"/>
  <c r="N76" i="14" s="1"/>
  <c r="M24" i="14"/>
  <c r="M76" i="14" s="1"/>
  <c r="S34" i="14"/>
  <c r="O13" i="14"/>
  <c r="H24" i="14"/>
  <c r="H76" i="14" s="1"/>
  <c r="M35" i="14"/>
  <c r="I35" i="14"/>
  <c r="H35" i="14"/>
  <c r="S35" i="14"/>
  <c r="R35" i="14"/>
  <c r="Q35" i="14"/>
  <c r="P35" i="14"/>
  <c r="O35" i="14"/>
  <c r="N35" i="14"/>
  <c r="I24" i="14"/>
  <c r="I76" i="14" s="1"/>
  <c r="R28" i="14"/>
  <c r="R54" i="14" s="1"/>
  <c r="N32" i="14"/>
  <c r="I54" i="14"/>
  <c r="S60" i="14"/>
  <c r="N34" i="14"/>
  <c r="J34" i="14"/>
  <c r="J67" i="14" s="1"/>
  <c r="I34" i="14"/>
  <c r="R34" i="14"/>
  <c r="Q34" i="14"/>
  <c r="P34" i="14"/>
  <c r="O34" i="14"/>
  <c r="M34" i="14"/>
  <c r="L34" i="14"/>
  <c r="K34" i="14"/>
  <c r="M54" i="14"/>
  <c r="J54" i="14"/>
  <c r="L32" i="14"/>
  <c r="H54" i="14"/>
  <c r="L13" i="14"/>
  <c r="Q19" i="14"/>
  <c r="M19" i="14"/>
  <c r="L19" i="14"/>
  <c r="R19" i="14"/>
  <c r="P19" i="14"/>
  <c r="O19" i="14"/>
  <c r="N19" i="14"/>
  <c r="K19" i="14"/>
  <c r="J19" i="14"/>
  <c r="I19" i="14"/>
  <c r="L36" i="14"/>
  <c r="H70" i="12"/>
  <c r="K70" i="12" s="1"/>
  <c r="L70" i="12" s="1"/>
  <c r="M84" i="12"/>
  <c r="Y84" i="12"/>
  <c r="O16" i="14"/>
  <c r="P30" i="14"/>
  <c r="H75" i="12"/>
  <c r="K75" i="12" s="1"/>
  <c r="L75" i="12" s="1"/>
  <c r="N84" i="12"/>
  <c r="P16" i="14"/>
  <c r="Q30" i="14"/>
  <c r="O84" i="12"/>
  <c r="S13" i="14"/>
  <c r="Q16" i="14"/>
  <c r="R30" i="14"/>
  <c r="H73" i="12"/>
  <c r="K73" i="12" s="1"/>
  <c r="L73" i="12" s="1"/>
  <c r="D84" i="12"/>
  <c r="P84" i="12"/>
  <c r="H14" i="13"/>
  <c r="E84" i="12"/>
  <c r="Q84" i="12"/>
  <c r="F84" i="12"/>
  <c r="R16" i="14"/>
  <c r="N16" i="14"/>
  <c r="M16" i="14"/>
  <c r="O30" i="14"/>
  <c r="K30" i="14"/>
  <c r="J30" i="14"/>
  <c r="L40" i="14"/>
  <c r="K28" i="14"/>
  <c r="K54" i="14" s="1"/>
  <c r="J32" i="14"/>
  <c r="S40" i="14"/>
  <c r="R44" i="14"/>
  <c r="L28" i="14"/>
  <c r="K32" i="14"/>
  <c r="H40" i="14"/>
  <c r="S44" i="14"/>
  <c r="P28" i="14"/>
  <c r="P54" i="14" s="1"/>
  <c r="O32" i="14"/>
  <c r="L69" i="12" l="1"/>
  <c r="C79" i="12" s="1"/>
  <c r="C48" i="10"/>
  <c r="P84" i="14"/>
  <c r="I53" i="14"/>
  <c r="I55" i="14" s="1"/>
  <c r="J53" i="14"/>
  <c r="J55" i="14" s="1"/>
  <c r="K53" i="14"/>
  <c r="K55" i="14" s="1"/>
  <c r="L67" i="14"/>
  <c r="K60" i="14"/>
  <c r="R67" i="14"/>
  <c r="I84" i="14"/>
  <c r="G15" i="12"/>
  <c r="K6" i="14"/>
  <c r="K85" i="14" s="1"/>
  <c r="H53" i="14"/>
  <c r="H55" i="14" s="1"/>
  <c r="O67" i="14"/>
  <c r="I15" i="12"/>
  <c r="K107" i="14"/>
  <c r="R6" i="14"/>
  <c r="R85" i="14" s="1"/>
  <c r="Q67" i="14"/>
  <c r="J84" i="14"/>
  <c r="L60" i="14"/>
  <c r="I6" i="14"/>
  <c r="I85" i="14" s="1"/>
  <c r="H6" i="14"/>
  <c r="H85" i="14" s="1"/>
  <c r="L53" i="14"/>
  <c r="H96" i="14"/>
  <c r="P15" i="12"/>
  <c r="N53" i="14"/>
  <c r="E15" i="12"/>
  <c r="J6" i="14"/>
  <c r="J85" i="14" s="1"/>
  <c r="F15" i="12"/>
  <c r="M67" i="14"/>
  <c r="J36" i="14"/>
  <c r="J86" i="14" s="1"/>
  <c r="J96" i="14"/>
  <c r="S67" i="14"/>
  <c r="S69" i="14" s="1"/>
  <c r="K84" i="14"/>
  <c r="H20" i="14"/>
  <c r="H68" i="14" s="1"/>
  <c r="I96" i="14"/>
  <c r="O15" i="12"/>
  <c r="N15" i="12"/>
  <c r="M15" i="12"/>
  <c r="L15" i="12"/>
  <c r="K15" i="12"/>
  <c r="J15" i="12"/>
  <c r="P53" i="14"/>
  <c r="P55" i="14" s="1"/>
  <c r="N67" i="14"/>
  <c r="L108" i="14"/>
  <c r="L113" i="14" s="1"/>
  <c r="D8" i="14"/>
  <c r="C46" i="10"/>
  <c r="M96" i="14"/>
  <c r="M60" i="14"/>
  <c r="M84" i="14"/>
  <c r="S107" i="14"/>
  <c r="S36" i="14"/>
  <c r="S86" i="14" s="1"/>
  <c r="M36" i="14"/>
  <c r="M86" i="14" s="1"/>
  <c r="M107" i="14"/>
  <c r="M6" i="14"/>
  <c r="M85" i="14" s="1"/>
  <c r="N54" i="14"/>
  <c r="I20" i="14"/>
  <c r="I68" i="14" s="1"/>
  <c r="J20" i="14"/>
  <c r="J68" i="14" s="1"/>
  <c r="J69" i="14" s="1"/>
  <c r="Q20" i="14"/>
  <c r="Q68" i="14" s="1"/>
  <c r="C81" i="12"/>
  <c r="N84" i="14"/>
  <c r="S6" i="14"/>
  <c r="S85" i="14" s="1"/>
  <c r="L86" i="14"/>
  <c r="L54" i="14"/>
  <c r="K20" i="14"/>
  <c r="K68" i="14" s="1"/>
  <c r="I67" i="14"/>
  <c r="O54" i="14"/>
  <c r="C78" i="12"/>
  <c r="I36" i="14"/>
  <c r="I86" i="14" s="1"/>
  <c r="I107" i="14"/>
  <c r="O96" i="14"/>
  <c r="O60" i="14"/>
  <c r="H109" i="14"/>
  <c r="H84" i="14"/>
  <c r="L84" i="14"/>
  <c r="L109" i="14"/>
  <c r="N20" i="14"/>
  <c r="N68" i="14" s="1"/>
  <c r="N107" i="14"/>
  <c r="N6" i="14"/>
  <c r="N85" i="14" s="1"/>
  <c r="N36" i="14"/>
  <c r="N86" i="14" s="1"/>
  <c r="H67" i="14"/>
  <c r="R96" i="14"/>
  <c r="R60" i="14"/>
  <c r="R53" i="14"/>
  <c r="R55" i="14" s="1"/>
  <c r="O20" i="14"/>
  <c r="O68" i="14" s="1"/>
  <c r="O107" i="14"/>
  <c r="O36" i="14"/>
  <c r="O86" i="14" s="1"/>
  <c r="O6" i="14"/>
  <c r="O85" i="14" s="1"/>
  <c r="P20" i="14"/>
  <c r="P68" i="14" s="1"/>
  <c r="O84" i="14"/>
  <c r="P107" i="14"/>
  <c r="P36" i="14"/>
  <c r="P86" i="14" s="1"/>
  <c r="P6" i="14"/>
  <c r="P85" i="14" s="1"/>
  <c r="N96" i="14"/>
  <c r="N60" i="14"/>
  <c r="S109" i="14"/>
  <c r="S84" i="14"/>
  <c r="Q96" i="14"/>
  <c r="Q60" i="14"/>
  <c r="Q53" i="14"/>
  <c r="Q55" i="14" s="1"/>
  <c r="R20" i="14"/>
  <c r="R68" i="14" s="1"/>
  <c r="Q107" i="14"/>
  <c r="Q36" i="14"/>
  <c r="Q86" i="14" s="1"/>
  <c r="Q6" i="14"/>
  <c r="Q85" i="14" s="1"/>
  <c r="M53" i="14"/>
  <c r="M55" i="14" s="1"/>
  <c r="M20" i="14"/>
  <c r="M68" i="14" s="1"/>
  <c r="H36" i="14"/>
  <c r="H86" i="14" s="1"/>
  <c r="H107" i="14"/>
  <c r="C47" i="10"/>
  <c r="S14" i="12"/>
  <c r="G14" i="12"/>
  <c r="R14" i="12"/>
  <c r="F14" i="12"/>
  <c r="Q14" i="12"/>
  <c r="E14" i="12"/>
  <c r="P14" i="12"/>
  <c r="O14" i="12"/>
  <c r="Z14" i="12"/>
  <c r="N14" i="12"/>
  <c r="J14" i="12"/>
  <c r="I14" i="12"/>
  <c r="H14" i="12"/>
  <c r="L14" i="12"/>
  <c r="K14" i="12"/>
  <c r="Y14" i="12"/>
  <c r="X14" i="12"/>
  <c r="W14" i="12"/>
  <c r="T14" i="12"/>
  <c r="M14" i="12"/>
  <c r="V14" i="12"/>
  <c r="U14" i="12"/>
  <c r="P67" i="14"/>
  <c r="O53" i="14"/>
  <c r="S54" i="14"/>
  <c r="S55" i="14" s="1"/>
  <c r="P96" i="14"/>
  <c r="P60" i="14"/>
  <c r="L20" i="14"/>
  <c r="L68" i="14" s="1"/>
  <c r="R84" i="14"/>
  <c r="K67" i="14"/>
  <c r="R107" i="14"/>
  <c r="R36" i="14"/>
  <c r="R86" i="14" s="1"/>
  <c r="Q84" i="14"/>
  <c r="C59" i="11" l="1"/>
  <c r="L69" i="14"/>
  <c r="L70" i="14" s="1"/>
  <c r="L71" i="14" s="1"/>
  <c r="N55" i="14"/>
  <c r="N56" i="14" s="1"/>
  <c r="N57" i="14" s="1"/>
  <c r="R69" i="14"/>
  <c r="R70" i="14" s="1"/>
  <c r="R71" i="14" s="1"/>
  <c r="L87" i="14"/>
  <c r="L88" i="14" s="1"/>
  <c r="L89" i="14" s="1"/>
  <c r="L91" i="14" s="1"/>
  <c r="K87" i="14"/>
  <c r="K88" i="14" s="1"/>
  <c r="K89" i="14" s="1"/>
  <c r="K108" i="14"/>
  <c r="K113" i="14" s="1"/>
  <c r="L55" i="14"/>
  <c r="L56" i="14" s="1"/>
  <c r="L57" i="14" s="1"/>
  <c r="H69" i="14"/>
  <c r="H70" i="14" s="1"/>
  <c r="H71" i="14" s="1"/>
  <c r="I108" i="14"/>
  <c r="I113" i="14" s="1"/>
  <c r="I87" i="14"/>
  <c r="I88" i="14" s="1"/>
  <c r="I89" i="14" s="1"/>
  <c r="O55" i="14"/>
  <c r="R108" i="14"/>
  <c r="R113" i="14" s="1"/>
  <c r="M69" i="14"/>
  <c r="M70" i="14" s="1"/>
  <c r="M71" i="14" s="1"/>
  <c r="O69" i="14"/>
  <c r="O70" i="14" s="1"/>
  <c r="O71" i="14" s="1"/>
  <c r="N69" i="14"/>
  <c r="N70" i="14" s="1"/>
  <c r="N71" i="14" s="1"/>
  <c r="Q69" i="14"/>
  <c r="Q70" i="14" s="1"/>
  <c r="Q71" i="14" s="1"/>
  <c r="S56" i="14"/>
  <c r="S57" i="14" s="1"/>
  <c r="H108" i="14"/>
  <c r="H113" i="14" s="1"/>
  <c r="J87" i="14"/>
  <c r="J88" i="14" s="1"/>
  <c r="J89" i="14" s="1"/>
  <c r="J91" i="14" s="1"/>
  <c r="J108" i="14"/>
  <c r="J113" i="14" s="1"/>
  <c r="P69" i="14"/>
  <c r="P70" i="14" s="1"/>
  <c r="P71" i="14" s="1"/>
  <c r="K56" i="14"/>
  <c r="K57" i="14" s="1"/>
  <c r="P87" i="14"/>
  <c r="P88" i="14" s="1"/>
  <c r="P89" i="14" s="1"/>
  <c r="N108" i="14"/>
  <c r="N113" i="14" s="1"/>
  <c r="K69" i="14"/>
  <c r="K70" i="14" s="1"/>
  <c r="K71" i="14" s="1"/>
  <c r="I69" i="14"/>
  <c r="I70" i="14" s="1"/>
  <c r="I71" i="14" s="1"/>
  <c r="J70" i="14"/>
  <c r="J71" i="14" s="1"/>
  <c r="O87" i="14"/>
  <c r="O88" i="14" s="1"/>
  <c r="O89" i="14" s="1"/>
  <c r="M56" i="14"/>
  <c r="M57" i="14" s="1"/>
  <c r="M47" i="14"/>
  <c r="M108" i="14"/>
  <c r="M113" i="14" s="1"/>
  <c r="H87" i="14"/>
  <c r="H88" i="14" s="1"/>
  <c r="H89" i="14" s="1"/>
  <c r="S47" i="14"/>
  <c r="Q47" i="14"/>
  <c r="P47" i="14"/>
  <c r="Q56" i="14"/>
  <c r="Q57" i="14" s="1"/>
  <c r="L59" i="11"/>
  <c r="I47" i="14"/>
  <c r="S108" i="14"/>
  <c r="S113" i="14" s="1"/>
  <c r="I56" i="14"/>
  <c r="I57" i="14" s="1"/>
  <c r="N47" i="14"/>
  <c r="H47" i="14"/>
  <c r="R56" i="14"/>
  <c r="R57" i="14" s="1"/>
  <c r="C80" i="12"/>
  <c r="H85" i="12" s="1"/>
  <c r="H86" i="12" s="1"/>
  <c r="G21" i="13" s="1"/>
  <c r="Q87" i="14"/>
  <c r="Q88" i="14" s="1"/>
  <c r="Q89" i="14" s="1"/>
  <c r="O47" i="14"/>
  <c r="J47" i="14"/>
  <c r="J56" i="14"/>
  <c r="J57" i="14" s="1"/>
  <c r="S70" i="14"/>
  <c r="S71" i="14" s="1"/>
  <c r="R47" i="14"/>
  <c r="R87" i="14"/>
  <c r="R88" i="14" s="1"/>
  <c r="R89" i="14" s="1"/>
  <c r="K47" i="14"/>
  <c r="Q108" i="14"/>
  <c r="Q113" i="14" s="1"/>
  <c r="O108" i="14"/>
  <c r="O113" i="14" s="1"/>
  <c r="P56" i="14"/>
  <c r="P57" i="14" s="1"/>
  <c r="M87" i="14"/>
  <c r="M88" i="14" s="1"/>
  <c r="M89" i="14" s="1"/>
  <c r="L47" i="14"/>
  <c r="S87" i="14"/>
  <c r="S88" i="14" s="1"/>
  <c r="S89" i="14" s="1"/>
  <c r="P108" i="14"/>
  <c r="P113" i="14" s="1"/>
  <c r="N87" i="14"/>
  <c r="N88" i="14" s="1"/>
  <c r="N89" i="14" s="1"/>
  <c r="H56" i="14"/>
  <c r="H57" i="14" s="1"/>
  <c r="G34" i="13" l="1"/>
  <c r="H34" i="13" s="1"/>
  <c r="I13" i="12" s="1"/>
  <c r="L5" i="14" s="1"/>
  <c r="H21" i="13"/>
  <c r="I12" i="12" s="1"/>
  <c r="L4" i="14" s="1"/>
  <c r="L64" i="11"/>
  <c r="O56" i="14"/>
  <c r="O57" i="14" s="1"/>
  <c r="I91" i="14"/>
  <c r="I94" i="14"/>
  <c r="I95" i="14" s="1"/>
  <c r="I99" i="14" s="1"/>
  <c r="I93" i="14"/>
  <c r="J93" i="14"/>
  <c r="K85" i="12"/>
  <c r="K86" i="12" s="1"/>
  <c r="G24" i="13" s="1"/>
  <c r="T85" i="12"/>
  <c r="T86" i="12" s="1"/>
  <c r="L94" i="14"/>
  <c r="L95" i="14" s="1"/>
  <c r="L99" i="14" s="1"/>
  <c r="J94" i="14"/>
  <c r="J95" i="14" s="1"/>
  <c r="J99" i="14" s="1"/>
  <c r="L93" i="14"/>
  <c r="K93" i="14"/>
  <c r="K91" i="14"/>
  <c r="K94" i="14" s="1"/>
  <c r="K95" i="14" s="1"/>
  <c r="K99" i="14" s="1"/>
  <c r="H94" i="14"/>
  <c r="H95" i="14" s="1"/>
  <c r="H99" i="14" s="1"/>
  <c r="H91" i="14"/>
  <c r="H93" i="14"/>
  <c r="I85" i="12"/>
  <c r="I86" i="12" s="1"/>
  <c r="G22" i="13" s="1"/>
  <c r="M85" i="12"/>
  <c r="M86" i="12" s="1"/>
  <c r="G26" i="13" s="1"/>
  <c r="Q85" i="12"/>
  <c r="Q86" i="12" s="1"/>
  <c r="E85" i="12"/>
  <c r="E86" i="12" s="1"/>
  <c r="G18" i="13" s="1"/>
  <c r="H18" i="13" s="1"/>
  <c r="F12" i="12" s="1"/>
  <c r="I4" i="14" s="1"/>
  <c r="V85" i="12"/>
  <c r="V86" i="12" s="1"/>
  <c r="W85" i="12"/>
  <c r="W86" i="12" s="1"/>
  <c r="F85" i="12"/>
  <c r="F86" i="12" s="1"/>
  <c r="G19" i="13" s="1"/>
  <c r="R85" i="12"/>
  <c r="R86" i="12" s="1"/>
  <c r="O85" i="12"/>
  <c r="O86" i="12" s="1"/>
  <c r="G28" i="13" s="1"/>
  <c r="H28" i="13" s="1"/>
  <c r="P12" i="12" s="1"/>
  <c r="S4" i="14" s="1"/>
  <c r="P85" i="12"/>
  <c r="P86" i="12" s="1"/>
  <c r="X85" i="12"/>
  <c r="X86" i="12" s="1"/>
  <c r="Y85" i="12"/>
  <c r="Y86" i="12" s="1"/>
  <c r="G85" i="12"/>
  <c r="G86" i="12" s="1"/>
  <c r="G20" i="13" s="1"/>
  <c r="N85" i="12"/>
  <c r="N86" i="12" s="1"/>
  <c r="G27" i="13" s="1"/>
  <c r="L85" i="12"/>
  <c r="L86" i="12" s="1"/>
  <c r="G25" i="13" s="1"/>
  <c r="S85" i="12"/>
  <c r="S86" i="12" s="1"/>
  <c r="U85" i="12"/>
  <c r="U86" i="12" s="1"/>
  <c r="D85" i="12"/>
  <c r="D86" i="12" s="1"/>
  <c r="G17" i="13" s="1"/>
  <c r="J85" i="12"/>
  <c r="J86" i="12" s="1"/>
  <c r="G23" i="13" s="1"/>
  <c r="H23" i="13" s="1"/>
  <c r="K12" i="12" s="1"/>
  <c r="N4" i="14" s="1"/>
  <c r="L46" i="14" l="1"/>
  <c r="S93" i="14"/>
  <c r="S91" i="14"/>
  <c r="S94" i="14" s="1"/>
  <c r="S95" i="14" s="1"/>
  <c r="S99" i="14" s="1"/>
  <c r="N93" i="14"/>
  <c r="N91" i="14"/>
  <c r="N94" i="14" s="1"/>
  <c r="N95" i="14" s="1"/>
  <c r="N99" i="14" s="1"/>
  <c r="L45" i="14"/>
  <c r="L38" i="14"/>
  <c r="L105" i="14" s="1"/>
  <c r="L111" i="14" s="1"/>
  <c r="L15" i="14"/>
  <c r="L18" i="14" s="1"/>
  <c r="L7" i="14"/>
  <c r="G62" i="13"/>
  <c r="L39" i="14"/>
  <c r="L22" i="14"/>
  <c r="L26" i="14" s="1"/>
  <c r="L73" i="14" s="1"/>
  <c r="L78" i="14" s="1"/>
  <c r="L23" i="14"/>
  <c r="L74" i="14" s="1"/>
  <c r="L37" i="14"/>
  <c r="L104" i="14" s="1"/>
  <c r="L110" i="14" s="1"/>
  <c r="L14" i="14"/>
  <c r="L17" i="14" s="1"/>
  <c r="L33" i="14"/>
  <c r="L21" i="14"/>
  <c r="L25" i="14" s="1"/>
  <c r="L72" i="14" s="1"/>
  <c r="L77" i="14" s="1"/>
  <c r="L29" i="14"/>
  <c r="G54" i="13"/>
  <c r="G37" i="13"/>
  <c r="H37" i="13" s="1"/>
  <c r="L13" i="12" s="1"/>
  <c r="O5" i="14" s="1"/>
  <c r="H24" i="13"/>
  <c r="L12" i="12" s="1"/>
  <c r="O4" i="14" s="1"/>
  <c r="G35" i="13"/>
  <c r="H35" i="13" s="1"/>
  <c r="J13" i="12" s="1"/>
  <c r="M5" i="14" s="1"/>
  <c r="H22" i="13"/>
  <c r="J12" i="12" s="1"/>
  <c r="M4" i="14" s="1"/>
  <c r="G39" i="13"/>
  <c r="H39" i="13" s="1"/>
  <c r="N13" i="12" s="1"/>
  <c r="Q5" i="14" s="1"/>
  <c r="H26" i="13"/>
  <c r="N12" i="12" s="1"/>
  <c r="Q4" i="14" s="1"/>
  <c r="D54" i="13"/>
  <c r="I21" i="14"/>
  <c r="I25" i="14" s="1"/>
  <c r="I72" i="14" s="1"/>
  <c r="I77" i="14" s="1"/>
  <c r="I29" i="14"/>
  <c r="C92" i="12"/>
  <c r="I14" i="14"/>
  <c r="I17" i="14" s="1"/>
  <c r="I37" i="14"/>
  <c r="I104" i="14" s="1"/>
  <c r="I110" i="14" s="1"/>
  <c r="I33" i="14"/>
  <c r="G32" i="13"/>
  <c r="H32" i="13" s="1"/>
  <c r="G13" i="12" s="1"/>
  <c r="J5" i="14" s="1"/>
  <c r="H19" i="13"/>
  <c r="G12" i="12" s="1"/>
  <c r="J4" i="14" s="1"/>
  <c r="S29" i="14"/>
  <c r="S33" i="14"/>
  <c r="S21" i="14"/>
  <c r="S25" i="14" s="1"/>
  <c r="S72" i="14" s="1"/>
  <c r="S77" i="14" s="1"/>
  <c r="S37" i="14"/>
  <c r="S104" i="14" s="1"/>
  <c r="S110" i="14" s="1"/>
  <c r="S14" i="14"/>
  <c r="S17" i="14" s="1"/>
  <c r="N54" i="13"/>
  <c r="G33" i="13"/>
  <c r="H33" i="13" s="1"/>
  <c r="H13" i="12" s="1"/>
  <c r="K5" i="14" s="1"/>
  <c r="H20" i="13"/>
  <c r="H12" i="12" s="1"/>
  <c r="K4" i="14" s="1"/>
  <c r="G40" i="13"/>
  <c r="H40" i="13" s="1"/>
  <c r="O13" i="12" s="1"/>
  <c r="R5" i="14" s="1"/>
  <c r="H27" i="13"/>
  <c r="O12" i="12" s="1"/>
  <c r="R4" i="14" s="1"/>
  <c r="G38" i="13"/>
  <c r="H38" i="13" s="1"/>
  <c r="M13" i="12" s="1"/>
  <c r="P5" i="14" s="1"/>
  <c r="H25" i="13"/>
  <c r="M12" i="12" s="1"/>
  <c r="P4" i="14" s="1"/>
  <c r="G30" i="13"/>
  <c r="H30" i="13" s="1"/>
  <c r="E13" i="12" s="1"/>
  <c r="H5" i="14" s="1"/>
  <c r="H17" i="13"/>
  <c r="E12" i="12" s="1"/>
  <c r="H4" i="14" s="1"/>
  <c r="N21" i="14"/>
  <c r="N25" i="14" s="1"/>
  <c r="N72" i="14" s="1"/>
  <c r="N77" i="14" s="1"/>
  <c r="N29" i="14"/>
  <c r="N37" i="14"/>
  <c r="N104" i="14" s="1"/>
  <c r="N110" i="14" s="1"/>
  <c r="N14" i="14"/>
  <c r="N17" i="14" s="1"/>
  <c r="N33" i="14"/>
  <c r="I54" i="13"/>
  <c r="E41" i="12"/>
  <c r="G41" i="13"/>
  <c r="E40" i="12"/>
  <c r="G36" i="13"/>
  <c r="E39" i="12"/>
  <c r="G31" i="13"/>
  <c r="L49" i="14" l="1"/>
  <c r="L48" i="14" s="1"/>
  <c r="L75" i="14" s="1"/>
  <c r="L79" i="14" s="1"/>
  <c r="L80" i="14" s="1"/>
  <c r="K46" i="14"/>
  <c r="Q46" i="14"/>
  <c r="M46" i="14"/>
  <c r="O46" i="14"/>
  <c r="H46" i="14"/>
  <c r="J46" i="14"/>
  <c r="P46" i="14"/>
  <c r="R46" i="14"/>
  <c r="O93" i="14"/>
  <c r="O91" i="14"/>
  <c r="O94" i="14" s="1"/>
  <c r="O95" i="14" s="1"/>
  <c r="O99" i="14" s="1"/>
  <c r="M91" i="14"/>
  <c r="M94" i="14" s="1"/>
  <c r="M95" i="14" s="1"/>
  <c r="M99" i="14" s="1"/>
  <c r="M93" i="14"/>
  <c r="Q93" i="14"/>
  <c r="Q91" i="14"/>
  <c r="Q94" i="14" s="1"/>
  <c r="Q95" i="14" s="1"/>
  <c r="Q99" i="14" s="1"/>
  <c r="R93" i="14"/>
  <c r="R91" i="14"/>
  <c r="R94" i="14" s="1"/>
  <c r="R95" i="14" s="1"/>
  <c r="R99" i="14" s="1"/>
  <c r="P91" i="14"/>
  <c r="P94" i="14" s="1"/>
  <c r="P95" i="14" s="1"/>
  <c r="P99" i="14" s="1"/>
  <c r="P93" i="14"/>
  <c r="L92" i="14"/>
  <c r="L98" i="14" s="1"/>
  <c r="L59" i="14"/>
  <c r="L62" i="14" s="1"/>
  <c r="L90" i="14"/>
  <c r="L97" i="14" s="1"/>
  <c r="L58" i="14"/>
  <c r="L61" i="14" s="1"/>
  <c r="O45" i="14"/>
  <c r="O39" i="14"/>
  <c r="O38" i="14"/>
  <c r="O105" i="14" s="1"/>
  <c r="O111" i="14" s="1"/>
  <c r="O22" i="14"/>
  <c r="O26" i="14" s="1"/>
  <c r="O73" i="14" s="1"/>
  <c r="O78" i="14" s="1"/>
  <c r="O23" i="14"/>
  <c r="O74" i="14" s="1"/>
  <c r="O15" i="14"/>
  <c r="O18" i="14" s="1"/>
  <c r="O7" i="14"/>
  <c r="J62" i="13"/>
  <c r="O33" i="14"/>
  <c r="O14" i="14"/>
  <c r="O17" i="14" s="1"/>
  <c r="O37" i="14"/>
  <c r="O104" i="14" s="1"/>
  <c r="O110" i="14" s="1"/>
  <c r="O21" i="14"/>
  <c r="O25" i="14" s="1"/>
  <c r="O72" i="14" s="1"/>
  <c r="O77" i="14" s="1"/>
  <c r="O29" i="14"/>
  <c r="J54" i="13"/>
  <c r="M45" i="14"/>
  <c r="M22" i="14"/>
  <c r="M26" i="14" s="1"/>
  <c r="M73" i="14" s="1"/>
  <c r="M78" i="14" s="1"/>
  <c r="M15" i="14"/>
  <c r="M18" i="14" s="1"/>
  <c r="M23" i="14"/>
  <c r="M74" i="14" s="1"/>
  <c r="M39" i="14"/>
  <c r="M7" i="14"/>
  <c r="M38" i="14"/>
  <c r="M105" i="14" s="1"/>
  <c r="M111" i="14" s="1"/>
  <c r="H62" i="13"/>
  <c r="M14" i="14"/>
  <c r="M17" i="14" s="1"/>
  <c r="M21" i="14"/>
  <c r="M25" i="14" s="1"/>
  <c r="M72" i="14" s="1"/>
  <c r="M77" i="14" s="1"/>
  <c r="M37" i="14"/>
  <c r="M104" i="14" s="1"/>
  <c r="M110" i="14" s="1"/>
  <c r="H54" i="13"/>
  <c r="M33" i="14"/>
  <c r="M29" i="14"/>
  <c r="Q45" i="14"/>
  <c r="Q39" i="14"/>
  <c r="Q38" i="14"/>
  <c r="Q105" i="14" s="1"/>
  <c r="Q111" i="14" s="1"/>
  <c r="Q22" i="14"/>
  <c r="Q26" i="14" s="1"/>
  <c r="Q73" i="14" s="1"/>
  <c r="Q78" i="14" s="1"/>
  <c r="Q15" i="14"/>
  <c r="Q18" i="14" s="1"/>
  <c r="Q23" i="14"/>
  <c r="Q74" i="14" s="1"/>
  <c r="Q7" i="14"/>
  <c r="L62" i="13"/>
  <c r="Q37" i="14"/>
  <c r="Q104" i="14" s="1"/>
  <c r="Q110" i="14" s="1"/>
  <c r="Q14" i="14"/>
  <c r="Q17" i="14" s="1"/>
  <c r="Q33" i="14"/>
  <c r="L54" i="13"/>
  <c r="Q21" i="14"/>
  <c r="Q25" i="14" s="1"/>
  <c r="Q72" i="14" s="1"/>
  <c r="Q77" i="14" s="1"/>
  <c r="Q29" i="14"/>
  <c r="I90" i="14"/>
  <c r="I97" i="14" s="1"/>
  <c r="I58" i="14"/>
  <c r="I61" i="14" s="1"/>
  <c r="J45" i="14"/>
  <c r="J22" i="14"/>
  <c r="J26" i="14" s="1"/>
  <c r="J73" i="14" s="1"/>
  <c r="J78" i="14" s="1"/>
  <c r="J15" i="14"/>
  <c r="J18" i="14" s="1"/>
  <c r="J38" i="14"/>
  <c r="J105" i="14" s="1"/>
  <c r="J111" i="14" s="1"/>
  <c r="J23" i="14"/>
  <c r="J74" i="14" s="1"/>
  <c r="J7" i="14"/>
  <c r="J39" i="14"/>
  <c r="E62" i="13"/>
  <c r="J29" i="14"/>
  <c r="J21" i="14"/>
  <c r="J25" i="14" s="1"/>
  <c r="J72" i="14" s="1"/>
  <c r="J77" i="14" s="1"/>
  <c r="J37" i="14"/>
  <c r="J104" i="14" s="1"/>
  <c r="J110" i="14" s="1"/>
  <c r="J14" i="14"/>
  <c r="J17" i="14" s="1"/>
  <c r="E54" i="13"/>
  <c r="J33" i="14"/>
  <c r="S90" i="14"/>
  <c r="S97" i="14" s="1"/>
  <c r="S58" i="14"/>
  <c r="S61" i="14" s="1"/>
  <c r="K45" i="14"/>
  <c r="K7" i="14"/>
  <c r="K22" i="14"/>
  <c r="K26" i="14" s="1"/>
  <c r="K73" i="14" s="1"/>
  <c r="K78" i="14" s="1"/>
  <c r="K39" i="14"/>
  <c r="K38" i="14"/>
  <c r="K105" i="14" s="1"/>
  <c r="K111" i="14" s="1"/>
  <c r="K23" i="14"/>
  <c r="K74" i="14" s="1"/>
  <c r="K15" i="14"/>
  <c r="K18" i="14" s="1"/>
  <c r="F62" i="13"/>
  <c r="K14" i="14"/>
  <c r="K17" i="14" s="1"/>
  <c r="K33" i="14"/>
  <c r="K29" i="14"/>
  <c r="K37" i="14"/>
  <c r="K104" i="14" s="1"/>
  <c r="K110" i="14" s="1"/>
  <c r="K21" i="14"/>
  <c r="K25" i="14" s="1"/>
  <c r="K72" i="14" s="1"/>
  <c r="K77" i="14" s="1"/>
  <c r="F54" i="13"/>
  <c r="R45" i="14"/>
  <c r="R38" i="14"/>
  <c r="R105" i="14" s="1"/>
  <c r="R111" i="14" s="1"/>
  <c r="R39" i="14"/>
  <c r="R22" i="14"/>
  <c r="R26" i="14" s="1"/>
  <c r="R73" i="14" s="1"/>
  <c r="R78" i="14" s="1"/>
  <c r="R15" i="14"/>
  <c r="R18" i="14" s="1"/>
  <c r="R23" i="14"/>
  <c r="R74" i="14" s="1"/>
  <c r="R7" i="14"/>
  <c r="M62" i="13"/>
  <c r="R14" i="14"/>
  <c r="R17" i="14" s="1"/>
  <c r="R37" i="14"/>
  <c r="R104" i="14" s="1"/>
  <c r="R110" i="14" s="1"/>
  <c r="R33" i="14"/>
  <c r="R29" i="14"/>
  <c r="R21" i="14"/>
  <c r="R25" i="14" s="1"/>
  <c r="R72" i="14" s="1"/>
  <c r="R77" i="14" s="1"/>
  <c r="M54" i="13"/>
  <c r="P45" i="14"/>
  <c r="P38" i="14"/>
  <c r="P105" i="14" s="1"/>
  <c r="P111" i="14" s="1"/>
  <c r="P22" i="14"/>
  <c r="P26" i="14" s="1"/>
  <c r="P73" i="14" s="1"/>
  <c r="P78" i="14" s="1"/>
  <c r="P39" i="14"/>
  <c r="P23" i="14"/>
  <c r="P74" i="14" s="1"/>
  <c r="P7" i="14"/>
  <c r="P15" i="14"/>
  <c r="P18" i="14" s="1"/>
  <c r="K62" i="13"/>
  <c r="K54" i="13"/>
  <c r="P33" i="14"/>
  <c r="P37" i="14"/>
  <c r="P104" i="14" s="1"/>
  <c r="P110" i="14" s="1"/>
  <c r="P21" i="14"/>
  <c r="P25" i="14" s="1"/>
  <c r="P72" i="14" s="1"/>
  <c r="P77" i="14" s="1"/>
  <c r="P14" i="14"/>
  <c r="P17" i="14" s="1"/>
  <c r="P29" i="14"/>
  <c r="H45" i="14"/>
  <c r="H22" i="14"/>
  <c r="H26" i="14" s="1"/>
  <c r="H73" i="14" s="1"/>
  <c r="H78" i="14" s="1"/>
  <c r="H39" i="14"/>
  <c r="H7" i="14"/>
  <c r="H15" i="14"/>
  <c r="H18" i="14" s="1"/>
  <c r="H23" i="14"/>
  <c r="H74" i="14" s="1"/>
  <c r="H38" i="14"/>
  <c r="H105" i="14" s="1"/>
  <c r="H111" i="14" s="1"/>
  <c r="C62" i="13"/>
  <c r="H21" i="14"/>
  <c r="H25" i="14" s="1"/>
  <c r="H72" i="14" s="1"/>
  <c r="H77" i="14" s="1"/>
  <c r="H37" i="14"/>
  <c r="H104" i="14" s="1"/>
  <c r="H110" i="14" s="1"/>
  <c r="H33" i="14"/>
  <c r="H14" i="14"/>
  <c r="H17" i="14" s="1"/>
  <c r="H29" i="14"/>
  <c r="C54" i="13"/>
  <c r="N90" i="14"/>
  <c r="N97" i="14" s="1"/>
  <c r="N58" i="14"/>
  <c r="N61" i="14" s="1"/>
  <c r="E44" i="12"/>
  <c r="H41" i="13"/>
  <c r="P13" i="12" s="1"/>
  <c r="S5" i="14" s="1"/>
  <c r="S46" i="14" s="1"/>
  <c r="E43" i="12"/>
  <c r="H36" i="13"/>
  <c r="K13" i="12" s="1"/>
  <c r="N5" i="14" s="1"/>
  <c r="N46" i="14" s="1"/>
  <c r="E42" i="12"/>
  <c r="H31" i="13"/>
  <c r="F13" i="12" s="1"/>
  <c r="I5" i="14" s="1"/>
  <c r="I46" i="14" s="1"/>
  <c r="J49" i="14" l="1"/>
  <c r="J48" i="14" s="1"/>
  <c r="J75" i="14" s="1"/>
  <c r="J79" i="14" s="1"/>
  <c r="J80" i="14" s="1"/>
  <c r="K49" i="14"/>
  <c r="K48" i="14" s="1"/>
  <c r="K106" i="14" s="1"/>
  <c r="K112" i="14" s="1"/>
  <c r="K114" i="14" s="1"/>
  <c r="M49" i="14"/>
  <c r="M48" i="14" s="1"/>
  <c r="M75" i="14" s="1"/>
  <c r="M79" i="14" s="1"/>
  <c r="M80" i="14" s="1"/>
  <c r="O49" i="14"/>
  <c r="O48" i="14" s="1"/>
  <c r="O106" i="14" s="1"/>
  <c r="O112" i="14" s="1"/>
  <c r="O114" i="14" s="1"/>
  <c r="L106" i="14"/>
  <c r="L112" i="14" s="1"/>
  <c r="L114" i="14" s="1"/>
  <c r="G56" i="11" s="1"/>
  <c r="Q49" i="14"/>
  <c r="Q48" i="14" s="1"/>
  <c r="Q106" i="14" s="1"/>
  <c r="Q112" i="14" s="1"/>
  <c r="Q114" i="14" s="1"/>
  <c r="H49" i="14"/>
  <c r="H48" i="14" s="1"/>
  <c r="H106" i="14" s="1"/>
  <c r="H112" i="14" s="1"/>
  <c r="H114" i="14" s="1"/>
  <c r="P49" i="14"/>
  <c r="P48" i="14" s="1"/>
  <c r="P75" i="14" s="1"/>
  <c r="P79" i="14" s="1"/>
  <c r="P80" i="14" s="1"/>
  <c r="R49" i="14"/>
  <c r="R48" i="14" s="1"/>
  <c r="R106" i="14" s="1"/>
  <c r="R112" i="14" s="1"/>
  <c r="R114" i="14" s="1"/>
  <c r="F60" i="11"/>
  <c r="L61" i="11"/>
  <c r="I59" i="11"/>
  <c r="I62" i="11"/>
  <c r="L63" i="14"/>
  <c r="L100" i="14"/>
  <c r="G54" i="11"/>
  <c r="G75" i="13"/>
  <c r="O92" i="14"/>
  <c r="O98" i="14" s="1"/>
  <c r="O59" i="14"/>
  <c r="O62" i="14" s="1"/>
  <c r="O90" i="14"/>
  <c r="O97" i="14" s="1"/>
  <c r="O58" i="14"/>
  <c r="O61" i="14" s="1"/>
  <c r="M92" i="14"/>
  <c r="M98" i="14" s="1"/>
  <c r="M59" i="14"/>
  <c r="M62" i="14" s="1"/>
  <c r="M90" i="14"/>
  <c r="M97" i="14" s="1"/>
  <c r="M58" i="14"/>
  <c r="M61" i="14" s="1"/>
  <c r="Q59" i="14"/>
  <c r="Q62" i="14" s="1"/>
  <c r="Q92" i="14"/>
  <c r="Q98" i="14" s="1"/>
  <c r="Q90" i="14"/>
  <c r="Q97" i="14" s="1"/>
  <c r="Q58" i="14"/>
  <c r="Q61" i="14" s="1"/>
  <c r="J92" i="14"/>
  <c r="J98" i="14" s="1"/>
  <c r="J59" i="14"/>
  <c r="J62" i="14" s="1"/>
  <c r="J90" i="14"/>
  <c r="J97" i="14" s="1"/>
  <c r="J58" i="14"/>
  <c r="J61" i="14" s="1"/>
  <c r="K59" i="14"/>
  <c r="K62" i="14" s="1"/>
  <c r="K92" i="14"/>
  <c r="K98" i="14" s="1"/>
  <c r="K90" i="14"/>
  <c r="K97" i="14" s="1"/>
  <c r="K58" i="14"/>
  <c r="K61" i="14" s="1"/>
  <c r="R59" i="14"/>
  <c r="R62" i="14" s="1"/>
  <c r="R92" i="14"/>
  <c r="R98" i="14" s="1"/>
  <c r="R90" i="14"/>
  <c r="R97" i="14" s="1"/>
  <c r="R58" i="14"/>
  <c r="R61" i="14" s="1"/>
  <c r="P92" i="14"/>
  <c r="P98" i="14" s="1"/>
  <c r="P59" i="14"/>
  <c r="P62" i="14" s="1"/>
  <c r="P58" i="14"/>
  <c r="P61" i="14" s="1"/>
  <c r="P90" i="14"/>
  <c r="P97" i="14" s="1"/>
  <c r="H92" i="14"/>
  <c r="H98" i="14" s="1"/>
  <c r="H59" i="14"/>
  <c r="H62" i="14" s="1"/>
  <c r="H90" i="14"/>
  <c r="H97" i="14" s="1"/>
  <c r="H58" i="14"/>
  <c r="H61" i="14" s="1"/>
  <c r="S45" i="14"/>
  <c r="S49" i="14" s="1"/>
  <c r="S48" i="14" s="1"/>
  <c r="S38" i="14"/>
  <c r="S105" i="14" s="1"/>
  <c r="S111" i="14" s="1"/>
  <c r="S22" i="14"/>
  <c r="S26" i="14" s="1"/>
  <c r="S73" i="14" s="1"/>
  <c r="S78" i="14" s="1"/>
  <c r="S23" i="14"/>
  <c r="S74" i="14" s="1"/>
  <c r="S39" i="14"/>
  <c r="S7" i="14"/>
  <c r="S15" i="14"/>
  <c r="S18" i="14" s="1"/>
  <c r="N62" i="13"/>
  <c r="N45" i="14"/>
  <c r="N49" i="14" s="1"/>
  <c r="N48" i="14" s="1"/>
  <c r="N7" i="14"/>
  <c r="N38" i="14"/>
  <c r="N105" i="14" s="1"/>
  <c r="N111" i="14" s="1"/>
  <c r="N39" i="14"/>
  <c r="N23" i="14"/>
  <c r="N74" i="14" s="1"/>
  <c r="N22" i="14"/>
  <c r="N26" i="14" s="1"/>
  <c r="N73" i="14" s="1"/>
  <c r="N78" i="14" s="1"/>
  <c r="N15" i="14"/>
  <c r="N18" i="14" s="1"/>
  <c r="I62" i="13"/>
  <c r="I45" i="14"/>
  <c r="I49" i="14" s="1"/>
  <c r="I48" i="14" s="1"/>
  <c r="I22" i="14"/>
  <c r="I26" i="14" s="1"/>
  <c r="I73" i="14" s="1"/>
  <c r="I78" i="14" s="1"/>
  <c r="I15" i="14"/>
  <c r="I18" i="14" s="1"/>
  <c r="C93" i="12"/>
  <c r="I7" i="14"/>
  <c r="I38" i="14"/>
  <c r="I105" i="14" s="1"/>
  <c r="I111" i="14" s="1"/>
  <c r="I39" i="14"/>
  <c r="I23" i="14"/>
  <c r="I74" i="14" s="1"/>
  <c r="D62" i="13"/>
  <c r="O75" i="14" l="1"/>
  <c r="O79" i="14" s="1"/>
  <c r="O80" i="14" s="1"/>
  <c r="J54" i="11" s="1"/>
  <c r="G87" i="13"/>
  <c r="J106" i="14"/>
  <c r="J112" i="14" s="1"/>
  <c r="J114" i="14" s="1"/>
  <c r="E87" i="13" s="1"/>
  <c r="M106" i="14"/>
  <c r="M112" i="14" s="1"/>
  <c r="M114" i="14" s="1"/>
  <c r="H87" i="13" s="1"/>
  <c r="K75" i="14"/>
  <c r="K79" i="14" s="1"/>
  <c r="K80" i="14" s="1"/>
  <c r="F75" i="13" s="1"/>
  <c r="Q75" i="14"/>
  <c r="Q79" i="14" s="1"/>
  <c r="Q80" i="14" s="1"/>
  <c r="L54" i="11" s="1"/>
  <c r="H75" i="14"/>
  <c r="H79" i="14" s="1"/>
  <c r="H80" i="14" s="1"/>
  <c r="C75" i="13" s="1"/>
  <c r="R75" i="14"/>
  <c r="R79" i="14" s="1"/>
  <c r="R80" i="14" s="1"/>
  <c r="M75" i="13" s="1"/>
  <c r="P106" i="14"/>
  <c r="P112" i="14" s="1"/>
  <c r="P114" i="14" s="1"/>
  <c r="K87" i="13" s="1"/>
  <c r="G69" i="13"/>
  <c r="G53" i="11"/>
  <c r="G81" i="13"/>
  <c r="G55" i="11"/>
  <c r="P100" i="14"/>
  <c r="M56" i="11"/>
  <c r="M87" i="13"/>
  <c r="J100" i="14"/>
  <c r="M63" i="14"/>
  <c r="R100" i="14"/>
  <c r="R63" i="14"/>
  <c r="Q100" i="14"/>
  <c r="F61" i="11"/>
  <c r="L62" i="11"/>
  <c r="I106" i="14"/>
  <c r="I112" i="14" s="1"/>
  <c r="I114" i="14" s="1"/>
  <c r="J63" i="14"/>
  <c r="I75" i="14"/>
  <c r="I79" i="14" s="1"/>
  <c r="I80" i="14" s="1"/>
  <c r="H100" i="14"/>
  <c r="I60" i="11"/>
  <c r="H63" i="14"/>
  <c r="C60" i="11"/>
  <c r="O63" i="14"/>
  <c r="K63" i="14"/>
  <c r="K100" i="14"/>
  <c r="O100" i="14"/>
  <c r="M100" i="14"/>
  <c r="N75" i="14"/>
  <c r="N79" i="14" s="1"/>
  <c r="N80" i="14" s="1"/>
  <c r="N106" i="14"/>
  <c r="N112" i="14" s="1"/>
  <c r="N114" i="14" s="1"/>
  <c r="P63" i="14"/>
  <c r="S59" i="14"/>
  <c r="S62" i="14" s="1"/>
  <c r="S63" i="14" s="1"/>
  <c r="S92" i="14"/>
  <c r="S98" i="14" s="1"/>
  <c r="S100" i="14" s="1"/>
  <c r="N59" i="14"/>
  <c r="N62" i="14" s="1"/>
  <c r="N63" i="14" s="1"/>
  <c r="N92" i="14"/>
  <c r="N98" i="14" s="1"/>
  <c r="N100" i="14" s="1"/>
  <c r="C45" i="10"/>
  <c r="C94" i="12"/>
  <c r="I92" i="14"/>
  <c r="I98" i="14" s="1"/>
  <c r="I59" i="14"/>
  <c r="I62" i="14" s="1"/>
  <c r="K75" i="13"/>
  <c r="K54" i="11"/>
  <c r="C87" i="13"/>
  <c r="C56" i="11"/>
  <c r="E54" i="11"/>
  <c r="E75" i="13"/>
  <c r="J56" i="11"/>
  <c r="J87" i="13"/>
  <c r="L87" i="13"/>
  <c r="L56" i="11"/>
  <c r="H54" i="11"/>
  <c r="H75" i="13"/>
  <c r="F87" i="13"/>
  <c r="F56" i="11"/>
  <c r="Q63" i="14"/>
  <c r="S75" i="14"/>
  <c r="S79" i="14" s="1"/>
  <c r="S106" i="14"/>
  <c r="S112" i="14" s="1"/>
  <c r="E56" i="11" l="1"/>
  <c r="J75" i="13"/>
  <c r="H56" i="11"/>
  <c r="F54" i="11"/>
  <c r="K56" i="11"/>
  <c r="L75" i="13"/>
  <c r="C54" i="11"/>
  <c r="M54" i="11"/>
  <c r="K81" i="13"/>
  <c r="K55" i="11"/>
  <c r="E55" i="11"/>
  <c r="E81" i="13"/>
  <c r="H53" i="11"/>
  <c r="H69" i="13"/>
  <c r="M81" i="13"/>
  <c r="M55" i="11"/>
  <c r="M53" i="11"/>
  <c r="M69" i="13"/>
  <c r="L81" i="13"/>
  <c r="L55" i="11"/>
  <c r="S80" i="14"/>
  <c r="F63" i="11" s="1"/>
  <c r="F62" i="11"/>
  <c r="F59" i="11"/>
  <c r="S114" i="14"/>
  <c r="L65" i="11" s="1"/>
  <c r="L60" i="11"/>
  <c r="L63" i="11"/>
  <c r="E69" i="13"/>
  <c r="E53" i="11"/>
  <c r="C81" i="13"/>
  <c r="C55" i="11"/>
  <c r="C53" i="11"/>
  <c r="C69" i="13"/>
  <c r="J53" i="11"/>
  <c r="J69" i="13"/>
  <c r="J81" i="13"/>
  <c r="J55" i="11"/>
  <c r="H55" i="11"/>
  <c r="H81" i="13"/>
  <c r="F53" i="11"/>
  <c r="F69" i="13"/>
  <c r="F55" i="11"/>
  <c r="F81" i="13"/>
  <c r="K53" i="11"/>
  <c r="K69" i="13"/>
  <c r="I56" i="11"/>
  <c r="I87" i="13"/>
  <c r="J46" i="13"/>
  <c r="I54" i="11"/>
  <c r="H46" i="13"/>
  <c r="I75" i="13"/>
  <c r="N69" i="13"/>
  <c r="N53" i="11"/>
  <c r="K46" i="13"/>
  <c r="M46" i="13"/>
  <c r="N81" i="13"/>
  <c r="N55" i="11"/>
  <c r="G46" i="13"/>
  <c r="I69" i="13"/>
  <c r="I53" i="11"/>
  <c r="I55" i="11"/>
  <c r="I46" i="13"/>
  <c r="I81" i="13"/>
  <c r="I100" i="14"/>
  <c r="I61" i="11"/>
  <c r="I63" i="14"/>
  <c r="C61" i="11"/>
  <c r="F46" i="13"/>
  <c r="D56" i="11"/>
  <c r="D87" i="13"/>
  <c r="D54" i="11"/>
  <c r="D46" i="13"/>
  <c r="D75" i="13"/>
  <c r="L69" i="13"/>
  <c r="L53" i="11"/>
  <c r="N54" i="11" l="1"/>
  <c r="N75" i="13"/>
  <c r="L46" i="13"/>
  <c r="N87" i="13"/>
  <c r="N46" i="13"/>
  <c r="N56" i="11"/>
  <c r="E46" i="13"/>
  <c r="D55" i="11"/>
  <c r="D81" i="13"/>
  <c r="I63" i="11"/>
  <c r="D69" i="13"/>
  <c r="D53" i="11"/>
  <c r="C46" i="13"/>
  <c r="C62" i="11"/>
  <c r="K58" i="11"/>
  <c r="K66" i="11"/>
  <c r="E58" i="11"/>
  <c r="E64" i="11"/>
  <c r="H58" i="11" l="1"/>
  <c r="H64" i="11"/>
  <c r="B63" i="11"/>
  <c r="B5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tc={7B7C45CA-448B-4E7C-8747-A08E5F0A2A07}</author>
    <author>tc={3A75767C-A626-4A65-A150-AB009E945F94}</author>
  </authors>
  <commentList>
    <comment ref="B22" authorId="0" shapeId="0" xr:uid="{7B7C45CA-448B-4E7C-8747-A08E5F0A2A07}">
      <text>
        <t>[Threaded comment]
Your version of Excel allows you to read this threaded comment; however, any edits to it will get removed if the file is opened in a newer version of Excel. Learn more: https://go.microsoft.com/fwlink/?linkid=870924
Comment:
    The text "Total x USD/tVLSFO" overlaps and is not readable (at least on my laptop). Maybe enlarge the different result boxes or put the Total in another box
Reply:
    Modified chart sizing and setting a bit.</t>
      </text>
    </comment>
    <comment ref="D22" authorId="1" shapeId="0" xr:uid="{3A75767C-A626-4A65-A150-AB009E945F94}">
      <text>
        <t>[Threaded comment]
Your version of Excel allows you to read this threaded comment; however, any edits to it will get removed if the file is opened in a newer version of Excel. Learn more: https://go.microsoft.com/fwlink/?linkid=870924
Comment:
    The 0 on the bar chart overlap the 50 from Tier 1, which makes the graph look a bit weird. Maybe it is possible to filter the zero values from the graph? 
Reply:
    Added the filter for not showing zero value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<sst xmlns="http://schemas.openxmlformats.org/spreadsheetml/2006/main" count="958" uniqueCount="584">
  <si>
    <t>Mærsk Mc-Kinney Møller Center for Zero Carbon Shipping</t>
  </si>
  <si>
    <t>IMO Proposal Calculator</t>
  </si>
  <si>
    <t>Disclaimer</t>
  </si>
  <si>
    <t>Outputs are illustrative model results based on user-supplied assumptions – not forecasts, benchmarks, recommendations, or legal/financial advice. Users must make independent commercial decisions. The scenarios reflect a range of possible outcomes under different assumptions. No scenario represents the Center's expectation, recommendation, or forecast. Users must select and adjust assumptions to reflect their own commercial circumstances.</t>
  </si>
  <si>
    <t>1 · What this tool does</t>
  </si>
  <si>
    <t>Compares how four proposed global frameworks proposed as circular letters (CL) ahead of MEPC 85 change the compliance cost a shipping company faces under four illustrative strategies, 2029–2040, and which strategy each proposal makes cheapest over time. It is a comparison tool driven by user's assumptions, not a price forecast. For transparency and comparability with the wider IMO analysis, default fuel prices are drawn from the CIA (DNV, 2024); users can replace them with their own.</t>
  </si>
  <si>
    <t>2 · How it works  (inputs → model → outputs)</t>
  </si>
  <si>
    <t>① SET UP (Input tab)
Fuel prices, emission factors, reward rate, GFI setting, Remedial-Unit/Surplus Unit Price</t>
  </si>
  <si>
    <t>→</t>
  </si>
  <si>
    <t>② THE MODEL
Applies each proposal's NZF rules to each strategy, year by year</t>
  </si>
  <si>
    <t>③ Result (Overview tab)
Compliance cost for every proposal × strategy</t>
  </si>
  <si>
    <t>3 · The two axes you compare</t>
  </si>
  <si>
    <t>Four NZF proposals</t>
  </si>
  <si>
    <t>NZF as-is
(Australia et al., CL.5216)</t>
  </si>
  <si>
    <t>The IMO NZF as approved at MEPC 83, largely unchanged — the baseline (Australia, Canada, South Africa, UK; Circular Letter CL.5216)</t>
  </si>
  <si>
    <t>NZF Softer Start
(Brazil, CL.5214)</t>
  </si>
  <si>
    <t>Eases near-term Tier 1 and Tier 2 targets, converging on the NZF As-is path from the early 2040s (Brazil; CL.5214)</t>
  </si>
  <si>
    <t>NZF Enhanced Pricing
(Tuvalu, CL.5215)</t>
  </si>
  <si>
    <t>Sets a 100% direct-compliance target and raises the Remedial Unit  1 price to $300 (Tuvalu; CL.5215)</t>
  </si>
  <si>
    <t>Market-defined GFS
(Liberia, CL.5213)</t>
  </si>
  <si>
    <t>Ties the GHG-intensity trajectory to commercially available fuels, with no Fund or pricing mechanism (Liberia; CL.5213)</t>
  </si>
  <si>
    <t>Four compliance strategies</t>
  </si>
  <si>
    <t>S1 — VLSFO + bio-diesel</t>
  </si>
  <si>
    <t>Stay on fossil fuel oil; blend bio-diesel or use remedial units (flexible compliance alternative).</t>
  </si>
  <si>
    <t>S2 — LNG + bio-methane</t>
  </si>
  <si>
    <t>Switch to LNG; blend bio-methane or pay the remedial unit.</t>
  </si>
  <si>
    <t>S3 — VLSFO + ZNZ</t>
  </si>
  <si>
    <t>Blend zero/near-zero (ZNZ/RFNBO) fuel into VLSFO.</t>
  </si>
  <si>
    <t>S4 — 100% ZNZ</t>
  </si>
  <si>
    <t>Go fully zero/near-zero and sell surplus compliance credits.</t>
  </si>
  <si>
    <t>4 · Quick start</t>
  </si>
  <si>
    <t>Change the numbers on the Input tab</t>
  </si>
  <si>
    <t>Fuel prices, blend strategy, RU prices, the SU-price determination mechanism, ZNZ assumptions, and so on — the defaults are the standard MMMCZCS inputs.</t>
  </si>
  <si>
    <t>Check the results on the Overview tab</t>
  </si>
  <si>
    <t>The all-proposal figures matrix, the per-proposal line-chart comparison, and the Snapshot output (both year and proposal are selectable).</t>
  </si>
  <si>
    <t>5 · The tabs in this workbook</t>
  </si>
  <si>
    <t>Overview</t>
  </si>
  <si>
    <t xml:space="preserve">Results, the cost-comparison table and charts. </t>
  </si>
  <si>
    <t>Input</t>
  </si>
  <si>
    <t>Controls, user-editable assumptions and toggles.</t>
  </si>
  <si>
    <t>Assumptions</t>
  </si>
  <si>
    <t>Reference data, emission factors, modelled fuel prices, and sources.</t>
  </si>
  <si>
    <t>Proposals</t>
  </si>
  <si>
    <t>The policy definition of each proposal (parameters mapped to IMO documents).</t>
  </si>
  <si>
    <t>Key terms</t>
  </si>
  <si>
    <r>
      <rPr>
        <b/>
        <sz val="11"/>
        <color rgb="FF3C3C3C"/>
        <rFont val="Calibri"/>
        <family val="2"/>
        <scheme val="minor"/>
      </rPr>
      <t>NZF</t>
    </r>
    <r>
      <rPr>
        <sz val="11"/>
        <color rgb="FF3C3C3C"/>
        <rFont val="Calibri"/>
        <family val="2"/>
        <scheme val="minor"/>
      </rPr>
      <t xml:space="preserve"> = IMO Net-Zero Framework (Regulation approved at MEPC 83 and basis for ammendements).   ·   </t>
    </r>
    <r>
      <rPr>
        <b/>
        <sz val="11"/>
        <color rgb="FF3C3C3C"/>
        <rFont val="Calibri"/>
        <family val="2"/>
        <scheme val="minor"/>
      </rPr>
      <t>GFI</t>
    </r>
    <r>
      <rPr>
        <sz val="11"/>
        <color rgb="FF3C3C3C"/>
        <rFont val="Calibri"/>
        <family val="2"/>
        <scheme val="minor"/>
      </rPr>
      <t xml:space="preserve"> = GHG Fuel Intensity (gCO₂eq/MJ).   ·   </t>
    </r>
    <r>
      <rPr>
        <b/>
        <sz val="11"/>
        <color rgb="FF3C3C3C"/>
        <rFont val="Calibri"/>
        <family val="2"/>
        <scheme val="minor"/>
      </rPr>
      <t>Tier 1 / Tier 2</t>
    </r>
    <r>
      <rPr>
        <sz val="11"/>
        <color rgb="FF3C3C3C"/>
        <rFont val="Calibri"/>
        <family val="2"/>
        <scheme val="minor"/>
      </rPr>
      <t xml:space="preserve"> = the two compliance targets.</t>
    </r>
  </si>
  <si>
    <r>
      <rPr>
        <b/>
        <sz val="11"/>
        <color rgb="FF3C3C3C"/>
        <rFont val="Calibri"/>
        <family val="2"/>
        <scheme val="minor"/>
      </rPr>
      <t>RU</t>
    </r>
    <r>
      <rPr>
        <sz val="11"/>
        <color rgb="FF3C3C3C"/>
        <rFont val="Calibri"/>
        <family val="2"/>
        <scheme val="minor"/>
      </rPr>
      <t xml:space="preserve"> = Remedial Unit (flexible compliance alternative, priced per tCO₂eq).   ·   </t>
    </r>
    <r>
      <rPr>
        <b/>
        <sz val="11"/>
        <color rgb="FF3C3C3C"/>
        <rFont val="Calibri"/>
        <family val="2"/>
        <scheme val="minor"/>
      </rPr>
      <t>SU</t>
    </r>
    <r>
      <rPr>
        <sz val="11"/>
        <color rgb="FF3C3C3C"/>
        <rFont val="Calibri"/>
        <family val="2"/>
        <scheme val="minor"/>
      </rPr>
      <t xml:space="preserve"> = Surplus Unit (tradable over-compliance).   ·   </t>
    </r>
    <r>
      <rPr>
        <b/>
        <sz val="11"/>
        <color rgb="FF3C3C3C"/>
        <rFont val="Calibri"/>
        <family val="2"/>
        <scheme val="minor"/>
      </rPr>
      <t>ZNZ</t>
    </r>
    <r>
      <rPr>
        <sz val="11"/>
        <color rgb="FF3C3C3C"/>
        <rFont val="Calibri"/>
        <family val="2"/>
        <scheme val="minor"/>
      </rPr>
      <t xml:space="preserve"> = zero / near-zero fuels meeting thresholds set by IMO (ZNZ) and EU (RFNBO)</t>
    </r>
  </si>
  <si>
    <t>Unit: every cost is USD per tonne of VLSFO-equivalent energy, so fuels with different energy content can be compared on one scale.</t>
  </si>
  <si>
    <r>
      <rPr>
        <b/>
        <sz val="11"/>
        <color rgb="FF3C3C3C"/>
        <rFont val="Calibri"/>
        <family val="2"/>
        <scheme val="minor"/>
      </rPr>
      <t xml:space="preserve">CIA </t>
    </r>
    <r>
      <rPr>
        <sz val="11"/>
        <color rgb="FF3C3C3C"/>
        <rFont val="Calibri"/>
        <family val="2"/>
        <scheme val="minor"/>
      </rPr>
      <t>= The IMO's Comprehensive Impact Assessment of  GHG reduction measures, conducted by DNV and issued ahead of MEPC 82 (MEPC 82/INF.8/Add.1, 2024). It models policy options that were subsequently approved, in modified form, as the IMO Net-Zero Framework. We use CIA fuel costs (Table 1-1) as a transparent source for default costs in the tool.</t>
    </r>
  </si>
  <si>
    <t>For more on the IMO Net-Zero Framework and related articles, see our primer page.</t>
  </si>
  <si>
    <t>IMO NZF Primer</t>
  </si>
  <si>
    <t>Note on calculation</t>
  </si>
  <si>
    <t>This workbook relies on Excel Data Tables; open it in desktop Microsoft Excel with calculation set to Automatic. Other spreadsheet apps and online viewers may not compute the comparison tables correctly.</t>
  </si>
  <si>
    <t>Only the Input sheet requires user edits; all other sheets are reference or engine.</t>
  </si>
  <si>
    <t>Authors and Version</t>
  </si>
  <si>
    <r>
      <rPr>
        <b/>
        <sz val="11"/>
        <color rgb="FF3C3C3C"/>
        <rFont val="Calibri"/>
        <family val="2"/>
        <scheme val="minor"/>
      </rPr>
      <t>Authors:</t>
    </r>
    <r>
      <rPr>
        <sz val="11"/>
        <color rgb="FF3C3C3C"/>
        <rFont val="Calibri"/>
        <family val="2"/>
        <scheme val="minor"/>
      </rPr>
      <t xml:space="preserve"> Yuji Kosaka, Akio Konno, Joe Bettles</t>
    </r>
  </si>
  <si>
    <r>
      <rPr>
        <b/>
        <sz val="11"/>
        <color rgb="FF3C3C3C"/>
        <rFont val="Calibri"/>
        <family val="2"/>
        <scheme val="minor"/>
      </rPr>
      <t>Contact</t>
    </r>
    <r>
      <rPr>
        <sz val="11"/>
        <color rgb="FF3C3C3C"/>
        <rFont val="Calibri"/>
        <family val="2"/>
        <scheme val="minor"/>
      </rPr>
      <t>: tools@zerocarbonshipping.com</t>
    </r>
  </si>
  <si>
    <t>Version 1.0 - July 2026</t>
  </si>
  <si>
    <t>NZF Proposal Calculator — Inputs</t>
  </si>
  <si>
    <t>Inputs (policy &amp; shared assumptions)</t>
  </si>
  <si>
    <t>Scenario controls  ·  apply to all proposals</t>
  </si>
  <si>
    <t>ZNZ CI source</t>
  </si>
  <si>
    <t>Min ZNZ Threshold</t>
  </si>
  <si>
    <t>ZNZ CI value (if Enter my own, gCO₂eq/MJ)</t>
  </si>
  <si>
    <t>ZNZ Reward scenario</t>
  </si>
  <si>
    <t>Reward $100</t>
  </si>
  <si>
    <t>→ Flat reward, paid only in years where the ZNZ CI meets that year’s threshold (19 g to 2034, 14 g from 2035) and the proposal has a Fund (As-Is, Enhanced). Under the default “Min ZNZ Threshold” CI source this covers the full model length; a fixed own CI above 14 g loses the reward from 2035.</t>
  </si>
  <si>
    <t>Fuel prices &amp; sources  ·  feeds Strategies 1–4</t>
  </si>
  <si>
    <t>VLSFO price source</t>
  </si>
  <si>
    <t>Use CIA Assumption</t>
  </si>
  <si>
    <t>VLSFO fixed price (USD/tonne VLSFO)</t>
  </si>
  <si>
    <t>LNG emissions factor</t>
  </si>
  <si>
    <t>LNG Diesel slow speed - Midpoint</t>
  </si>
  <si>
    <t>LNG price source</t>
  </si>
  <si>
    <t>LNG fixed price (USD/tVLSFOeq)</t>
  </si>
  <si>
    <t>Bio-diesel price source</t>
  </si>
  <si>
    <t>Bio-diesel fixed price (USD/tonne VLSFOeq)</t>
  </si>
  <si>
    <t>Bio-methane price source</t>
  </si>
  <si>
    <t>Bio-methane fixed price (USD/tonne VLSFOeq)</t>
  </si>
  <si>
    <t>ZNZ price source</t>
  </si>
  <si>
    <t>Modelled ZNZ average</t>
  </si>
  <si>
    <t>ZNZ fixed price (USD/tonne VLSFOeq)</t>
  </si>
  <si>
    <t>Strategy blend toggles  ·  when to blend bio-fuel vs use remedial units</t>
  </si>
  <si>
    <t>Strategy 1 VLSFO + bio-diesel blend choice</t>
  </si>
  <si>
    <t>Blend in bio-diesel when cheaper than RUs</t>
  </si>
  <si>
    <t>Strategy 2 LNG + bio-methane blend choice</t>
  </si>
  <si>
    <t>Blend in bio-methane when cheaper than RUs</t>
  </si>
  <si>
    <t>Market-defined GFS controls  ·  apply only to that proposal  (Liberia, CL.5213)</t>
  </si>
  <si>
    <t>VLSFO benchmark price (USD/GJ)</t>
  </si>
  <si>
    <t>Reference year (t=0)</t>
  </si>
  <si>
    <t>Surplus-unit (SU) price determinants  (NZF Concepts Paper v2.1 §4.2)</t>
  </si>
  <si>
    <t>Bio-diesel sets SU price?</t>
  </si>
  <si>
    <t>Yes</t>
  </si>
  <si>
    <t>Bio-methane sets SU price?</t>
  </si>
  <si>
    <t>No</t>
  </si>
  <si>
    <t>ZNZ sets SU price?</t>
  </si>
  <si>
    <t xml:space="preserve">Remedial Unit (RU) prices  ·  per proposal </t>
  </si>
  <si>
    <r>
      <rPr>
        <b/>
        <i/>
        <sz val="11"/>
        <color theme="1" tint="0.499984740745262"/>
        <rFont val="Calibri"/>
        <family val="2"/>
        <scheme val="minor"/>
      </rPr>
      <t>Note</t>
    </r>
    <r>
      <rPr>
        <i/>
        <sz val="11"/>
        <color theme="1" tint="0.499984740745262"/>
        <rFont val="Calibri"/>
        <family val="2"/>
        <scheme val="minor"/>
      </rPr>
      <t>: to model a Tier 2 RU that increases over time, set the Tier 2 price &gt; abatement cost of bio (i.e., $800 when using CIA prices for biodiesel) and set strategies to blend in bio when cheaper than RUs (C23 and C24)</t>
    </r>
  </si>
  <si>
    <t>Proposal type</t>
  </si>
  <si>
    <t>Tier 2 RU (USD/tCO₂eq)</t>
  </si>
  <si>
    <t>Tier 1 RU (USD/tCO₂eq)</t>
  </si>
  <si>
    <t>NZF as-is</t>
  </si>
  <si>
    <t>NZF Softer Start</t>
  </si>
  <si>
    <t>NZF Enhanced Pricing</t>
  </si>
  <si>
    <t>Market-defined GFS uses a computed market price (marginal abatement cost)</t>
  </si>
  <si>
    <t xml:space="preserve"> Mechanism indicators (selected year &amp; proposal)</t>
  </si>
  <si>
    <t>Scenario</t>
  </si>
  <si>
    <t>SU prices</t>
  </si>
  <si>
    <t>Tier 1 settlement</t>
  </si>
  <si>
    <t>ZNZ CI in engine</t>
  </si>
  <si>
    <t>GFS viable fuels</t>
  </si>
  <si>
    <t>Reward (selected year)</t>
  </si>
  <si>
    <t>Dropdown option lists (reference — the input selectors above read these ranges)</t>
  </si>
  <si>
    <t>ZNZ CI source (C5)</t>
  </si>
  <si>
    <t>Enter my own</t>
  </si>
  <si>
    <t>VLSFO price source (C10)</t>
  </si>
  <si>
    <t>Enter fixed price</t>
  </si>
  <si>
    <t>LNG emissions factor (C12)</t>
  </si>
  <si>
    <t>LNG Diesel slow speed - FuelEU</t>
  </si>
  <si>
    <t>LNG Diesel slow speed - High</t>
  </si>
  <si>
    <t>LNG Diesel slow speed - Low</t>
  </si>
  <si>
    <t>LNG price source (C13)</t>
  </si>
  <si>
    <t>Bio-diesel price source (C15)</t>
  </si>
  <si>
    <t>Bio-methane price source (C17)</t>
  </si>
  <si>
    <t>ZNZ price source (C19)</t>
  </si>
  <si>
    <t>Modelled ZNZ High</t>
  </si>
  <si>
    <t>Modelled ZNZ Low</t>
  </si>
  <si>
    <t>Strategy 1 blend toggle (C23)</t>
  </si>
  <si>
    <t>VLSFO only and always pay RU</t>
  </si>
  <si>
    <t>Strategy 2 blend toggle (C24)</t>
  </si>
  <si>
    <t>LNG only and always pay RU</t>
  </si>
  <si>
    <t>Yes / No (C32:C34)</t>
  </si>
  <si>
    <t>NZF Proposal Calculator</t>
  </si>
  <si>
    <t>Compliance cost of five MEPC 84 reform proposals across four compliance strategies, 2029–2040</t>
  </si>
  <si>
    <t>Purpose:  Compares how four IMO proposals to ammend the IMO NZF change the cost a shipping company faces under four compliance strategies, and which strategy each proposal makes cheapest over time.</t>
  </si>
  <si>
    <t>Strategy descriptions:
S1 = stay on fossil fuel and blending bio-diesel or using remedial units; 
S2 = LNG + blend bio-methane to comply; 
S3 = blend zero/near-zero (ZNZ/RFNBO) fuel; 
S4 = switch fully to ZNZ/RFNBO and sell surplus credits.</t>
  </si>
  <si>
    <t>Unit:  All figures are USD per tonne of VLSFO-equivalent energy. The highlighted cell in each block is the strategy of lowest cost.</t>
  </si>
  <si>
    <t>Comparison — compliance cost by proposal and strategy (USD / t VLSFO-eq)</t>
  </si>
  <si>
    <t>2030</t>
  </si>
  <si>
    <t>2035</t>
  </si>
  <si>
    <t>2040</t>
  </si>
  <si>
    <t>Proposal</t>
  </si>
  <si>
    <t>S1</t>
  </si>
  <si>
    <t>S2</t>
  </si>
  <si>
    <t>S3</t>
  </si>
  <si>
    <t>S4</t>
  </si>
  <si>
    <t>Snapshot</t>
  </si>
  <si>
    <t>Choose year -&gt;</t>
  </si>
  <si>
    <t>Choose Proposal -&gt;</t>
  </si>
  <si>
    <t>Chart data — these cells feed the strategy cards and proposal charts above. Snapshot year = C19.</t>
  </si>
  <si>
    <t>Strategy 3: VLSFO + ZNZ</t>
  </si>
  <si>
    <t>Strategy 4: 100% ZNZ</t>
  </si>
  <si>
    <t>ZNZ fuel</t>
  </si>
  <si>
    <t>Total S1</t>
  </si>
  <si>
    <t>Total S2</t>
  </si>
  <si>
    <t>Total S3</t>
  </si>
  <si>
    <t>Total S4</t>
  </si>
  <si>
    <t>GHG Reference values and emissions factors</t>
  </si>
  <si>
    <r>
      <rPr>
        <b/>
        <i/>
        <sz val="10"/>
        <color rgb="FF000000"/>
        <rFont val="Calibri"/>
        <family val="2"/>
        <scheme val="minor"/>
      </rPr>
      <t>Note on the GFI emission factors:</t>
    </r>
    <r>
      <rPr>
        <i/>
        <sz val="10"/>
        <color rgb="FF000000"/>
        <rFont val="Calibri"/>
        <family val="2"/>
        <scheme val="minor"/>
      </rPr>
      <t xml:space="preserve"> The emission factors used in this tool are the current understanding of what emissions could be under the IMO LCA framework, however, the LCA guidance is not complete. Furthermore, users should be aware that actual emission intensities can differ significantly depending on factors like feedstock, production method, and geography — especially for biofuels like bio-methane and bio-diesel. We recommend sensitivity testing and caution against using these values for investment decisions without further validation.</t>
    </r>
  </si>
  <si>
    <t>Units</t>
  </si>
  <si>
    <t>Reference</t>
  </si>
  <si>
    <t>VLSFO</t>
  </si>
  <si>
    <t>Bio-diesel</t>
  </si>
  <si>
    <t>Bio-methane (Diesel)</t>
  </si>
  <si>
    <t>ZNZ</t>
  </si>
  <si>
    <t>Notes/Feedstock</t>
  </si>
  <si>
    <t>HFO</t>
  </si>
  <si>
    <t>FAME from waste cooking oil</t>
  </si>
  <si>
    <t>Biomethane from biowaste closed digestate, off-gas combustion</t>
  </si>
  <si>
    <t>WtW</t>
  </si>
  <si>
    <t>gCO2e/MJ</t>
  </si>
  <si>
    <t>User Input</t>
  </si>
  <si>
    <t>Lower Calorific Value</t>
  </si>
  <si>
    <t>MJ/g</t>
  </si>
  <si>
    <t>use VLSFO-eq</t>
  </si>
  <si>
    <t>Source</t>
  </si>
  <si>
    <t>Used across proposed frameworks</t>
  </si>
  <si>
    <t>We use VLSFO values from MEPC.391 (81) Appendix 2 (pg 49)</t>
  </si>
  <si>
    <t>We use values from MEPC.391 (81) Appendix 2. Where values were missing, we used FuelEU Annex II.</t>
  </si>
  <si>
    <t>The IMO will establish default factors in the IMO LCA Methodology. For now, we use two factors that have been submitted to GESAMP that represent a high and a low case. We combined these WtT factors with TtW factors from the 2024 IMO LCA Methodology.</t>
  </si>
  <si>
    <t>Policy Parameters</t>
  </si>
  <si>
    <r>
      <rPr>
        <b/>
        <i/>
        <sz val="10"/>
        <color rgb="FF000000"/>
        <rFont val="Calibri"/>
        <family val="2"/>
        <scheme val="minor"/>
      </rPr>
      <t>Note fuel cost assumptions:</t>
    </r>
    <r>
      <rPr>
        <i/>
        <sz val="10"/>
        <color rgb="FF000000"/>
        <rFont val="Calibri"/>
        <family val="2"/>
        <scheme val="minor"/>
      </rPr>
      <t xml:space="preserve"> Default fuel prices are drawn from the IMO's Comprehensive Impact Assessment (CIA) of the candidate mid-term GHG reduction measures (DNV, 2024, Table 1‑1), the fleet-level assessment prepared for MEPC 82. We use this source because it is publicly available, methodologically transparent, and directly comparable with the assessments relied on across the IMO negotiations. The figures represent delivered (bunkering) costs. Users can override these defaults and enter their own price assumptions.</t>
    </r>
  </si>
  <si>
    <t>Parameter</t>
  </si>
  <si>
    <t>units</t>
  </si>
  <si>
    <t>GFI Reduction Factors Tier 2 (Base)</t>
  </si>
  <si>
    <t>Active proposal (auto)</t>
  </si>
  <si>
    <t>%</t>
  </si>
  <si>
    <t>GFI Reduction Factors Tier 1 (Direct)</t>
  </si>
  <si>
    <t>Tier 2 Remedial Unit Cost</t>
  </si>
  <si>
    <t>USD/Tonne CO2eq</t>
  </si>
  <si>
    <t>Note (L24): the Tier 2 RU value in this row serves, under Fund=No proposals (No Fund A/B), as the SU price ceiling — modelling assumption; MEPC 84/7/49 itself sets no cap. See Verification Ledger L24.</t>
  </si>
  <si>
    <t>Tier 1 Remedial Unit Cost</t>
  </si>
  <si>
    <t>Minimum ZNZ Threshold</t>
  </si>
  <si>
    <t>NZF regulation (19 g → 14 g from 2035)</t>
  </si>
  <si>
    <t>gCO2eq/MJ</t>
  </si>
  <si>
    <t>Reward $175</t>
  </si>
  <si>
    <t>Reward scenario options (selected on Input)</t>
  </si>
  <si>
    <t>No Reward</t>
  </si>
  <si>
    <t>Variable</t>
  </si>
  <si>
    <t>IMO Comprehensive Impact Assessment</t>
  </si>
  <si>
    <t>USD/GJ</t>
  </si>
  <si>
    <t>LNG</t>
  </si>
  <si>
    <t>Bio-methane Cost</t>
  </si>
  <si>
    <t>ZNZ - Avg Cost</t>
  </si>
  <si>
    <t>ZNZ - Low Cost</t>
  </si>
  <si>
    <t>ZNZ - High Cost</t>
  </si>
  <si>
    <t>Policy definitions, fuel sources, Market-defined inputs, other parameters</t>
  </si>
  <si>
    <t>Policy Definitions by Proposal (reference)</t>
  </si>
  <si>
    <t>Market-defined GFS</t>
  </si>
  <si>
    <t>Architecture</t>
  </si>
  <si>
    <t>Net-Zero Fund</t>
  </si>
  <si>
    <t>Tier 1 SU covers deficit</t>
  </si>
  <si>
    <t>Banking</t>
  </si>
  <si>
    <t>Borrowing</t>
  </si>
  <si>
    <t>Tier 2 RU price</t>
  </si>
  <si>
    <t>Tier 1 RU price</t>
  </si>
  <si>
    <t>T2 red 2030</t>
  </si>
  <si>
    <t>T2 red 2035</t>
  </si>
  <si>
    <t>T2 red 2040</t>
  </si>
  <si>
    <t>T1 red 2030</t>
  </si>
  <si>
    <t>T1 red 2035</t>
  </si>
  <si>
    <t>T1 red 2040</t>
  </si>
  <si>
    <t>Active Fuel Cost Setup (mirror of Main inputs)</t>
  </si>
  <si>
    <t>VLSFO fixed price</t>
  </si>
  <si>
    <t>LNG fixed price</t>
  </si>
  <si>
    <t>Bio-diesel source</t>
  </si>
  <si>
    <t>Bio-diesel fixed</t>
  </si>
  <si>
    <t>Bio-methane source</t>
  </si>
  <si>
    <t>Bio-methane fixed</t>
  </si>
  <si>
    <t>ZNZ source</t>
  </si>
  <si>
    <t>ZNZ fixed</t>
  </si>
  <si>
    <t>S1 blend</t>
  </si>
  <si>
    <t>S2 blend</t>
  </si>
  <si>
    <t>Market-defined GFS Setup &amp; Trajectory (Liberia, CL.5213)</t>
  </si>
  <si>
    <t>Editable: fuel list (rows 67-74). Reduction factor row 84 feeds Proposals!G19:G30 (live) when Market-defined GFS is the active proposal.</t>
  </si>
  <si>
    <t>Inputs</t>
  </si>
  <si>
    <t>From Main!C30 — edit there</t>
  </si>
  <si>
    <t>Affordability multiplier</t>
  </si>
  <si>
    <t>Fixed at 100% per Liberia CL.5213 Affordability Criterion (production price ≤ 100% above the benchmark); threshold = VLSFO × 2.</t>
  </si>
  <si>
    <t>Affordability threshold (USD/GJ)</t>
  </si>
  <si>
    <t>Auto: VLSFO × multiplier</t>
  </si>
  <si>
    <t>From Main!C31. Used for trajectory: t = year − ref_year</t>
  </si>
  <si>
    <t>GFI reference (G, gCO₂eq/MJ)</t>
  </si>
  <si>
    <t>93.3 (fossil baseline)</t>
  </si>
  <si>
    <t>Editable fuel list (illustrative placeholders — replace with prior-year IMO market data when available)</t>
  </si>
  <si>
    <t>Fuel</t>
  </si>
  <si>
    <t>WtW CI
(gCO₂eq/MJ)</t>
  </si>
  <si>
    <t>2030 Share</t>
  </si>
  <si>
    <t>2030 Price
(USD/GJ)</t>
  </si>
  <si>
    <t>≥5/7
Regions?
(feeds Avail)</t>
  </si>
  <si>
    <t>10-yr
CAGR
(feeds Scale)</t>
  </si>
  <si>
    <t>Afford?</t>
  </si>
  <si>
    <t>Avail?
(share ≥4% AND ≥5/7 regions — CL.5213 Availability)</t>
  </si>
  <si>
    <t>Scale?
(Mature &gt;4%, or Emerging with CAGR ≥5% — CL.5213 Scalability)</t>
  </si>
  <si>
    <t>Viable?
(= Afford AND Avail AND Scale — CL.5213 "Commercially Viable Fuel")</t>
  </si>
  <si>
    <t>CI if Viable</t>
  </si>
  <si>
    <t>Bio-methane</t>
  </si>
  <si>
    <t>e-NH₃</t>
  </si>
  <si>
    <t>Blue-NH₃</t>
  </si>
  <si>
    <t>e-MeOH</t>
  </si>
  <si>
    <t>Bio-MeOH</t>
  </si>
  <si>
    <t>Derived parameters</t>
  </si>
  <si>
    <t>GFI_Max (weighted avg of viable, gCO₂eq/MJ)</t>
  </si>
  <si>
    <t>Σ(share × CI) / Σ(share) over viable fuels — Liberia, CL.5213</t>
  </si>
  <si>
    <t>GFI_Min (lowest CI of viable, gCO₂eq/MJ)</t>
  </si>
  <si>
    <t>MIN of CIs of viable fuels — Liberia, CL.5213</t>
  </si>
  <si>
    <t>Z (annual reduction step, gCO₂eq/MJ/yr)</t>
  </si>
  <si>
    <t>(GFI_Max − GFI_Min) / 30 yrs — Liberia, CL.5213</t>
  </si>
  <si>
    <t>Total viable share (informational)</t>
  </si>
  <si>
    <t>Σ of viable fuel shares</t>
  </si>
  <si>
    <t>Trajectory output (Reduction factor row 84 feeds Proposals!G19:G30 — live)</t>
  </si>
  <si>
    <t>Year</t>
  </si>
  <si>
    <t>t (year − ref)</t>
  </si>
  <si>
    <t>Target GFI (gCO₂eq/MJ)</t>
  </si>
  <si>
    <t>Reduction factor Z_T (vs 93.3)</t>
  </si>
  <si>
    <t>Notes: Fuel prices linked to the 2030 assumption set (CIA fossil/bio; modelled ZNZ); shares/CAGR remain estimates pending prior-year IMO market data. Missing vs full §8: (a) 2,500 nm port-spacing rule, (b) port-coverage rule, (c) 5-yearly review with restarted 30-yr trajectory.</t>
  </si>
  <si>
    <t xml:space="preserve"> Other Parameters</t>
  </si>
  <si>
    <t>GFI reference</t>
  </si>
  <si>
    <t>VLSFO LHV</t>
  </si>
  <si>
    <t>VLSFO CI</t>
  </si>
  <si>
    <t>T2 target 2030 active</t>
  </si>
  <si>
    <t>T1 target 2030 active</t>
  </si>
  <si>
    <t>SU price 2030 active</t>
  </si>
  <si>
    <t>α current</t>
  </si>
  <si>
    <t>Ref year</t>
  </si>
  <si>
    <t>ZNZ CI</t>
  </si>
  <si>
    <t>Unit ZNZ abatement</t>
  </si>
  <si>
    <t xml:space="preserve"> Input Selection Reference (dropdown option descriptions)</t>
  </si>
  <si>
    <t>ZNZ CI source (Main!C8)</t>
  </si>
  <si>
    <t xml:space="preserve">    • Min ZNZ Threshold</t>
  </si>
  <si>
    <t>Year-varying threshold: 19 gCO₂eq/MJ through 2034, then 14 from 2035</t>
  </si>
  <si>
    <t xml:space="preserve">    • Enter my own</t>
  </si>
  <si>
    <t>Custom value entered in Main!C9</t>
  </si>
  <si>
    <t>VLSFO price source (Main!C12)</t>
  </si>
  <si>
    <t xml:space="preserve">    • MMM VLSFO</t>
  </si>
  <si>
    <t>MMMCZCS Fuel Cost Calculator forecast trajectory (year-varying)</t>
  </si>
  <si>
    <t xml:space="preserve">    • Enter fixed price</t>
  </si>
  <si>
    <t>Constant USD/tonne entered in Main!C13</t>
  </si>
  <si>
    <t>LNG emissions factor (Main!C14)</t>
  </si>
  <si>
    <t xml:space="preserve">    • LNG Diesel slow speed - FuelEU</t>
  </si>
  <si>
    <t>FuelEU Annex II default (~77 gCO₂eq/MJ)</t>
  </si>
  <si>
    <t xml:space="preserve">    • LNG Diesel slow speed - High</t>
  </si>
  <si>
    <t xml:space="preserve">    • LNG Diesel slow speed - Low</t>
  </si>
  <si>
    <t>Low methane slip case (~76 gCO₂eq/MJ)</t>
  </si>
  <si>
    <t xml:space="preserve">    • LNG Diesel slow speed - Midpoint</t>
  </si>
  <si>
    <t>Midpoint of High and Low slip cases</t>
  </si>
  <si>
    <t>LNG price source (Main!C15)</t>
  </si>
  <si>
    <t xml:space="preserve">    • MMM LNG</t>
  </si>
  <si>
    <t>MMMCZCS FCC forecast (year-varying)</t>
  </si>
  <si>
    <t>Constant USD/tonne entered in Main!C16</t>
  </si>
  <si>
    <t>Bio-diesel price source (Main!C17)</t>
  </si>
  <si>
    <t xml:space="preserve">    • LR/UMAS B100 - Avg Price</t>
  </si>
  <si>
    <t>Lloyd's Register &amp; UMAS waste-FAME B100 average trajectory</t>
  </si>
  <si>
    <t xml:space="preserve">    • LR/UMAS B100 - Low Price</t>
  </si>
  <si>
    <t xml:space="preserve">    • LR/UMAS B100 - High Price</t>
  </si>
  <si>
    <t>LR/UMAS high scenario (more expensive)</t>
  </si>
  <si>
    <t>Constant USD/tonne entered in Main!C18</t>
  </si>
  <si>
    <t>Bio-methane price source (Main!C19)</t>
  </si>
  <si>
    <t xml:space="preserve">    • MMM Bio-methane Cost</t>
  </si>
  <si>
    <t>MMMCZCS FCC bio-methane trajectory (rising with capacity)</t>
  </si>
  <si>
    <t>Constant USD/tonne entered in Main!C20</t>
  </si>
  <si>
    <t>ZNZ price source (Main!C21)</t>
  </si>
  <si>
    <t xml:space="preserve">    • MMM ZNZ - Avg Cost</t>
  </si>
  <si>
    <t>MMMCZCS FCC: average of e-NH₃ and e-MeOH costs</t>
  </si>
  <si>
    <t xml:space="preserve">    • MMM ZNZ - High Cost</t>
  </si>
  <si>
    <t>MMMCZCS FCC: more expensive ZNZ pathway (e-MeOH-leaning)</t>
  </si>
  <si>
    <t xml:space="preserve">    • MMM ZNZ - Low Cost</t>
  </si>
  <si>
    <t>MMMCZCS FCC: cheaper ZNZ pathway (e-NH₃-leaning)</t>
  </si>
  <si>
    <t>Strategy 1 blend choice (Main!C25)</t>
  </si>
  <si>
    <t xml:space="preserve">    • Blend in bio-diesel when cheaper than RUs</t>
  </si>
  <si>
    <t>Smart blending: cost-min between bio-diesel and T2 RU each year</t>
  </si>
  <si>
    <t xml:space="preserve">    • VLSFO only and always pay RU</t>
  </si>
  <si>
    <t>Strategy 2 blend choice (Main!C26)</t>
  </si>
  <si>
    <t xml:space="preserve">    • Blend in bio-methane when cheaper than RUs</t>
  </si>
  <si>
    <t>Smart blending: cost-min between bio-methane and T2 RU each year</t>
  </si>
  <si>
    <t xml:space="preserve">    • LNG only and always pay RU</t>
  </si>
  <si>
    <t>Pure LNG + always pay T2 RU (no bio-methane; non-compliance reference)</t>
  </si>
  <si>
    <t>Bio-diesel sets SU price? (Main!C34)</t>
  </si>
  <si>
    <t xml:space="preserve">    • Yes</t>
  </si>
  <si>
    <t>Bio-diesel abatement cost participates in SU market price formation</t>
  </si>
  <si>
    <t xml:space="preserve">    • No</t>
  </si>
  <si>
    <t>Excluded from SU price determination</t>
  </si>
  <si>
    <t>Bio-methane sets SU price? (Main!C35)</t>
  </si>
  <si>
    <t>Bio-methane participates in SU market price formation</t>
  </si>
  <si>
    <t>ZNZ sets SU price? (Main!C36)</t>
  </si>
  <si>
    <t>ZNZ participates in SU market price formation</t>
  </si>
  <si>
    <t>NZF Proposal Calculator - Parameter Sets</t>
  </si>
  <si>
    <t>ACTIVE PROPOSAL →</t>
  </si>
  <si>
    <t>(lookup keys ↓)</t>
  </si>
  <si>
    <t>Description / Source</t>
  </si>
  <si>
    <t>ACTIVE
(resolved)</t>
  </si>
  <si>
    <t>Architecture &amp; Structure</t>
  </si>
  <si>
    <t>Architecture mode</t>
  </si>
  <si>
    <t>Compliance instrument structure</t>
  </si>
  <si>
    <t>FuelStd+Pricing</t>
  </si>
  <si>
    <t>FuelStd_only</t>
  </si>
  <si>
    <t>IMO Net-Zero Fund</t>
  </si>
  <si>
    <t>Fund collects RU revenue, disburses to JET/Reward</t>
  </si>
  <si>
    <t>Tier 1 deficit covered by SU</t>
  </si>
  <si>
    <t>TRUE = SU eligible for Tier 1 (No Fund logic)</t>
  </si>
  <si>
    <t>Banking allowed</t>
  </si>
  <si>
    <t>SU banking across years · informational only (not modelled in cost)</t>
  </si>
  <si>
    <t>Borrowing allowed</t>
  </si>
  <si>
    <t>Borrowing from future years · informational only (not modelled in cost)</t>
  </si>
  <si>
    <t>Remedial Unit Prices</t>
  </si>
  <si>
    <t>Tier 2 RU price (USD/tCO2eq)</t>
  </si>
  <si>
    <t>Price for Tier 2 deficit</t>
  </si>
  <si>
    <t>Tier 1 RU price (USD/tCO2eq)</t>
  </si>
  <si>
    <t>Price for Tier 1 deficit</t>
  </si>
  <si>
    <t>Tier 2 (Base) GFI Reduction Factors by Year</t>
  </si>
  <si>
    <t>Tier 2 (Base) reduction 2029</t>
  </si>
  <si>
    <t>Z-factor for 2029 (Tier 2)</t>
  </si>
  <si>
    <t>Tier 2 (Base) reduction 2030</t>
  </si>
  <si>
    <t>Z-factor for 2030 (Tier 2)</t>
  </si>
  <si>
    <t>Tier 2 (Base) reduction 2031</t>
  </si>
  <si>
    <t>Z-factor for 2031 (Tier 2)</t>
  </si>
  <si>
    <t>Tier 2 (Base) reduction 2032</t>
  </si>
  <si>
    <t>Z-factor for 2032 (Tier 2)</t>
  </si>
  <si>
    <t>Tier 2 (Base) reduction 2033</t>
  </si>
  <si>
    <t>Z-factor for 2033 (Tier 2)</t>
  </si>
  <si>
    <t>Tier 2 (Base) reduction 2034</t>
  </si>
  <si>
    <t>Z-factor for 2034 (Tier 2)</t>
  </si>
  <si>
    <t>Tier 2 (Base) reduction 2035</t>
  </si>
  <si>
    <t>Z-factor for 2035 (Tier 2)</t>
  </si>
  <si>
    <t>Tier 2 (Base) reduction 2036</t>
  </si>
  <si>
    <t>Z-factor for 2036 (Tier 2)</t>
  </si>
  <si>
    <t>Tier 2 (Base) reduction 2037</t>
  </si>
  <si>
    <t>Z-factor for 2037 (Tier 2)</t>
  </si>
  <si>
    <t>Tier 2 (Base) reduction 2038</t>
  </si>
  <si>
    <t>Z-factor for 2038 (Tier 2)</t>
  </si>
  <si>
    <t>Tier 2 (Base) reduction 2039</t>
  </si>
  <si>
    <t>Z-factor for 2039 (Tier 2)</t>
  </si>
  <si>
    <t>Tier 2 (Base) reduction 2040</t>
  </si>
  <si>
    <t>Z-factor for 2040 (Tier 2)</t>
  </si>
  <si>
    <t>Tier 1 (Direct Compliance) GFI Reduction Factors by Year</t>
  </si>
  <si>
    <t>Tier 1 (DCT) reduction 2029</t>
  </si>
  <si>
    <t>Z-factor for 2029 (Tier 1)</t>
  </si>
  <si>
    <t>Tier 1 (DCT) reduction 2030</t>
  </si>
  <si>
    <t>Z-factor for 2030 (Tier 1)</t>
  </si>
  <si>
    <t>Tier 1 (DCT) reduction 2031</t>
  </si>
  <si>
    <t>Z-factor for 2031 (Tier 1)</t>
  </si>
  <si>
    <t>Tier 1 (DCT) reduction 2032</t>
  </si>
  <si>
    <t>Z-factor for 2032 (Tier 1)</t>
  </si>
  <si>
    <t>Tier 1 (DCT) reduction 2033</t>
  </si>
  <si>
    <t>Z-factor for 2033 (Tier 1)</t>
  </si>
  <si>
    <t>Tier 1 (DCT) reduction 2034</t>
  </si>
  <si>
    <t>Z-factor for 2034 (Tier 1)</t>
  </si>
  <si>
    <t>Tier 1 (DCT) reduction 2035</t>
  </si>
  <si>
    <t>Z-factor for 2035 (Tier 1)</t>
  </si>
  <si>
    <t>Tier 1 (DCT) reduction 2036</t>
  </si>
  <si>
    <t>Z-factor for 2036 (Tier 1)</t>
  </si>
  <si>
    <t>Tier 1 (DCT) reduction 2037</t>
  </si>
  <si>
    <t>Z-factor for 2037 (Tier 1)</t>
  </si>
  <si>
    <t>Tier 1 (DCT) reduction 2038</t>
  </si>
  <si>
    <t>Z-factor for 2038 (Tier 1)</t>
  </si>
  <si>
    <t>Tier 1 (DCT) reduction 2039</t>
  </si>
  <si>
    <t>Z-factor for 2039 (Tier 1)</t>
  </si>
  <si>
    <t>Tier 1 (DCT) reduction 2040</t>
  </si>
  <si>
    <t>Z-factor for 2040 (Tier 1)</t>
  </si>
  <si>
    <t>Please do not modify rows 43–92 — these cells feed the Overview comparison table and the proposal charts.</t>
  </si>
  <si>
    <t>Policy paramaters</t>
  </si>
  <si>
    <t>Parameters</t>
  </si>
  <si>
    <t>Notes</t>
  </si>
  <si>
    <t>Calculation</t>
  </si>
  <si>
    <t>Fixed</t>
  </si>
  <si>
    <t>GFI reference x z-factor</t>
  </si>
  <si>
    <t>Reward Rate</t>
  </si>
  <si>
    <t>Based on user input</t>
  </si>
  <si>
    <t>USD/tCO2e</t>
  </si>
  <si>
    <t>Surplus Units up to Tier 1 Compliance</t>
  </si>
  <si>
    <t>Phase 1B</t>
  </si>
  <si>
    <t>Tier 1 SU eligible</t>
  </si>
  <si>
    <t>Yes/No flag from active proposal</t>
  </si>
  <si>
    <t>IF flag=Yes: Tier 1 cost = deficit × SU price (no Fund/RU1, capped by Tier2 RU=$380)</t>
  </si>
  <si>
    <t>flag</t>
  </si>
  <si>
    <t>Fuel cost calculations</t>
  </si>
  <si>
    <t>Fuel Costs</t>
  </si>
  <si>
    <t>User Input / Lookups</t>
  </si>
  <si>
    <t>VLSFO Emissions Factor</t>
  </si>
  <si>
    <t>VLSFO Emissions Factor (Converted)</t>
  </si>
  <si>
    <t>Convered to tonnes CO2e per GJ</t>
  </si>
  <si>
    <t>Emission factor / 1000</t>
  </si>
  <si>
    <t>tCO2e/GJ</t>
  </si>
  <si>
    <t>VLSFO Tier 2 Emissions Deficit</t>
  </si>
  <si>
    <t>Deficit with Tier 2 requirement</t>
  </si>
  <si>
    <t>Target - VLSFO actual (converted)</t>
  </si>
  <si>
    <t>tCO2e deficit/tVLSFO</t>
  </si>
  <si>
    <t>VLSFO Tier 1 Emissions Deficit</t>
  </si>
  <si>
    <t>Additional deficit with Tier 1 requirement</t>
  </si>
  <si>
    <t>Lower Target - VLSFO actual - Deficit Tier 1</t>
  </si>
  <si>
    <t>VLSFO Fuel Cost</t>
  </si>
  <si>
    <t>VLSFO Tier 2 RU cost per tonne of VLSFO</t>
  </si>
  <si>
    <t>Converted to cost per tonne of fuel</t>
  </si>
  <si>
    <t>Abatement cost / emissions per tonne of fuel</t>
  </si>
  <si>
    <t>USD/tVLSFO</t>
  </si>
  <si>
    <t>VLSFO Tier 1 RU cost per tonne of VLSFO</t>
  </si>
  <si>
    <t>LNG Emissions Factor</t>
  </si>
  <si>
    <t>LNG Emissions Factor (Converted)</t>
  </si>
  <si>
    <t>LNG Tier 2 Emissions Deficit</t>
  </si>
  <si>
    <t>Target - LNG actual (converted)</t>
  </si>
  <si>
    <t>tCO2e deficit/tVLSFOeq</t>
  </si>
  <si>
    <t>LNG Tier 1 Emissions Deficit</t>
  </si>
  <si>
    <t>Lower Target - LNG actual - Deficit Tier 1</t>
  </si>
  <si>
    <t>LNG Emissions Surplus</t>
  </si>
  <si>
    <t>If 2-tier, surplus is with lower requirement</t>
  </si>
  <si>
    <t>tCO2e surplus/tVLSFOeq</t>
  </si>
  <si>
    <t>LNG Fuel Cost</t>
  </si>
  <si>
    <t>LNG Tier 2 RU cost per tonne of VLSFOeq</t>
  </si>
  <si>
    <t>USD/tVLSFOeq</t>
  </si>
  <si>
    <t>LNG Tier 1 RU cost per tonne of VLSFOeq</t>
  </si>
  <si>
    <t>Bio-diesel Emissions Factor</t>
  </si>
  <si>
    <t>Bio-diesel Emissions Factor (Converted)</t>
  </si>
  <si>
    <t>Bio-diesel Emissions Deficit</t>
  </si>
  <si>
    <t>Target - Bio-diesel actual (converted)</t>
  </si>
  <si>
    <t>Bio-diesel Fuel Cost</t>
  </si>
  <si>
    <t>Bio-methane Emissions Factor</t>
  </si>
  <si>
    <t>Bio-methane Emissions Factor (Converted)</t>
  </si>
  <si>
    <t>Bio-methane Emissions Deficit</t>
  </si>
  <si>
    <t>Target - Bio-methane actual (converted)</t>
  </si>
  <si>
    <t>Bio-methane Fuel Cost</t>
  </si>
  <si>
    <t>ZNZ Emission Factor</t>
  </si>
  <si>
    <t>ZNZ Emission Factor (Converted)</t>
  </si>
  <si>
    <t>ZNZ Tier 2 Emissions Deficit</t>
  </si>
  <si>
    <t>Target - ZNZ actual (converted)</t>
  </si>
  <si>
    <t>ZNZ Tier 1 Emissions Deficit</t>
  </si>
  <si>
    <t>Lower Target - ZNZ actual - Deficit Tier 1</t>
  </si>
  <si>
    <t>ZNZ Emissions Surplus</t>
  </si>
  <si>
    <t>Surplus is with Tier 1 requirement</t>
  </si>
  <si>
    <t>ZNZ Fuel Cost</t>
  </si>
  <si>
    <t>Surplus Unit Value</t>
  </si>
  <si>
    <t>Break-even supply price per abatement fuel (MAC_i + ν_i)</t>
  </si>
  <si>
    <t>Abatement cost - Reward</t>
  </si>
  <si>
    <t>USD/tCO2e abatement</t>
  </si>
  <si>
    <t>Bio-diesel blend</t>
  </si>
  <si>
    <t>Abatement cost</t>
  </si>
  <si>
    <t>Bio-methane blend</t>
  </si>
  <si>
    <t>Remedial Unit</t>
  </si>
  <si>
    <t>Cost to buy one remedial unit</t>
  </si>
  <si>
    <t>USD/tCO2e deficit</t>
  </si>
  <si>
    <t>Market price of surplus unit</t>
  </si>
  <si>
    <t>Minimum abatement cost of RUs and other available compliance options</t>
  </si>
  <si>
    <t>USD/tonne of CO2e abatement</t>
  </si>
  <si>
    <t>Binding break-even = MIN over enabled fuels</t>
  </si>
  <si>
    <t>Strategy 1: VLSFO + Bio-diesel (base case)</t>
  </si>
  <si>
    <t>Bio-diesel cost premium</t>
  </si>
  <si>
    <t>Bio-diesel additional cost per GJ</t>
  </si>
  <si>
    <t>bio cost - VLSFO cost</t>
  </si>
  <si>
    <t>Bio-diesel abatement per GJ</t>
  </si>
  <si>
    <t>bio EF - VLSFO EF</t>
  </si>
  <si>
    <t>tCO2e abatement/GJ</t>
  </si>
  <si>
    <t>Tier 2</t>
  </si>
  <si>
    <t>Bio-diesel blend abatement cost</t>
  </si>
  <si>
    <t>Additional cost per t of abatement</t>
  </si>
  <si>
    <t>Cost diff/EF diff</t>
  </si>
  <si>
    <t>Minimum compliance cost</t>
  </si>
  <si>
    <t>Lowest cost compliance cost</t>
  </si>
  <si>
    <t>Minimum</t>
  </si>
  <si>
    <t>Minimum compliance option</t>
  </si>
  <si>
    <t>Lowest cost compliance option</t>
  </si>
  <si>
    <t>GFS Tier 2 cost</t>
  </si>
  <si>
    <t>Lowest cost option converted</t>
  </si>
  <si>
    <t>If bio, abate cost x abatement</t>
  </si>
  <si>
    <t>Tier 1</t>
  </si>
  <si>
    <t>GFS Tier 1 cost</t>
  </si>
  <si>
    <t>Total Costs</t>
  </si>
  <si>
    <t>VLSFO fuel</t>
  </si>
  <si>
    <t>Cost per tonne of VLSFO or equivalence</t>
  </si>
  <si>
    <t>Tier 2 (Bio-diesel or RU2)</t>
  </si>
  <si>
    <t>Minimum between Bio-diesel and RU</t>
  </si>
  <si>
    <t>Tier 1 (RU1)</t>
  </si>
  <si>
    <t>fuel cost + GFS compliance cost</t>
  </si>
  <si>
    <t>Strategy 2: LNG + Bio-methane</t>
  </si>
  <si>
    <t>Bio-methane cost premium</t>
  </si>
  <si>
    <t>Bio-methane additional cost per GJ</t>
  </si>
  <si>
    <t>Bio-methane abatement per GJ</t>
  </si>
  <si>
    <t>Bio-methane blend abatement cost</t>
  </si>
  <si>
    <t>GFS Surplus</t>
  </si>
  <si>
    <t>Surplus</t>
  </si>
  <si>
    <t>Surplus when LNG emissions factor is lower than GFI requirement</t>
  </si>
  <si>
    <t>Alt surplus x VLSFO LCV</t>
  </si>
  <si>
    <t>Surplus value</t>
  </si>
  <si>
    <t>Surplus at the market value</t>
  </si>
  <si>
    <t>Abatement x surplus value</t>
  </si>
  <si>
    <t>USD/tVLSFO-eq</t>
  </si>
  <si>
    <t>LNG fuel</t>
  </si>
  <si>
    <t>Cost per tonne of LNG or equivalence</t>
  </si>
  <si>
    <t>Tier 2 (Bio-methane or RU2)</t>
  </si>
  <si>
    <t>Minimum between Bio-methane and RU</t>
  </si>
  <si>
    <t>GFI Surplus</t>
  </si>
  <si>
    <t>fuel cost + compliance cost</t>
  </si>
  <si>
    <t>ZNZ cost premium</t>
  </si>
  <si>
    <t>ZNZ additional cost per GJ</t>
  </si>
  <si>
    <t>ZNZ cost - VLSFO cost</t>
  </si>
  <si>
    <t>ZNZ reward</t>
  </si>
  <si>
    <t>ZNZ abatement per GJ</t>
  </si>
  <si>
    <t>ZNZ EF - VLSFO EF</t>
  </si>
  <si>
    <t>ZNZ blend abatement cost</t>
  </si>
  <si>
    <t>If ZNZ, abate cost x abatement</t>
  </si>
  <si>
    <t>Share of ZNZ blend</t>
  </si>
  <si>
    <t>Min share of ZNZ to meet tier 2</t>
  </si>
  <si>
    <t>Required abatement / reduction of ZNZ</t>
  </si>
  <si>
    <t>Emissions factor</t>
  </si>
  <si>
    <t>Reward</t>
  </si>
  <si>
    <t>ZNZ abatement</t>
  </si>
  <si>
    <t>(ZNZ EF - reference GHG value) * share of ZNZ</t>
  </si>
  <si>
    <t>Rewards are granted per tonne abatement by a ZNZ</t>
  </si>
  <si>
    <t>abatement x reward</t>
  </si>
  <si>
    <t>Tier 2 (ZNZ or RU2)</t>
  </si>
  <si>
    <t>Minimum between ZNZ and RU</t>
  </si>
  <si>
    <t>Tier 2 cost of Rus</t>
  </si>
  <si>
    <t>Assumes deficits comply with RUs</t>
  </si>
  <si>
    <t>Deficit x RU (Upper)</t>
  </si>
  <si>
    <t>Tier 1 cost of Rus</t>
  </si>
  <si>
    <t>RU for deficits with Lower Requirement</t>
  </si>
  <si>
    <t>Lower Target Deficit x RU</t>
  </si>
  <si>
    <t>attained EF - VLSFO EF</t>
  </si>
  <si>
    <t>Tier 2 RU2</t>
  </si>
  <si>
    <t>If there is a deficit, assumed RU</t>
  </si>
  <si>
    <t>Tier 1 RU1</t>
  </si>
  <si>
    <t>Deficit for lower tier, also RU</t>
  </si>
  <si>
    <t>NZF as-is (Australia et al., CL.5216)</t>
  </si>
  <si>
    <t>NZF Softer Start (Brazil, CL.5214)</t>
  </si>
  <si>
    <t>NZF Enhanced Pricing (Tuvalu, CL.5215)</t>
  </si>
  <si>
    <t>Market-defined GFS (Liberia, CL.5213)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</si>
</sst>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Red]\-#,##0.0"/>
    <numFmt numFmtId="167" formatCode="#,##0.0"/>
    <numFmt numFmtId="168" formatCode="0.0000"/>
  </numFmts>
  <fonts count="75" x14ac:knownFonts="1">
    <font>
      <sz val="11"/>
      <color theme="1"/>
      <name val="Calibri"/>
      <family val="2"/>
      <charset val="1"/>
    </font>
    <font>
      <sz val="11"/>
      <color theme="1"/>
      <name val="Calibri"/>
      <family val="2"/>
      <scheme val="minor"/>
    </font>
    <font>
      <u/>
      <sz val="11"/>
      <color theme="10"/>
      <name val="Calibri"/>
      <family val="2"/>
      <charset val="1"/>
    </font>
    <font>
      <i/>
      <sz val="12"/>
      <color theme="8" tint="-0.499984740745262"/>
      <name val="Calibri"/>
      <family val="2"/>
      <charset val="1"/>
    </font>
    <font>
      <sz val="11"/>
      <color theme="1"/>
      <name val="Calibri"/>
      <family val="2"/>
      <charset val="1"/>
    </font>
    <font>
      <sz val="11"/>
      <color theme="1"/>
      <name val="Calibri"/>
      <family val="2"/>
      <scheme val="minor"/>
    </font>
    <font>
      <sz val="11"/>
      <name val="Calibri"/>
      <family val="2"/>
      <scheme val="minor"/>
    </font>
    <font>
      <b/>
      <sz val="11"/>
      <name val="Calibri"/>
      <family val="2"/>
      <scheme val="minor"/>
    </font>
    <font>
      <i/>
      <sz val="11"/>
      <name val="Calibri"/>
      <family val="2"/>
      <scheme val="minor"/>
    </font>
    <font>
      <b/>
      <i/>
      <sz val="11"/>
      <name val="Calibri"/>
      <family val="2"/>
      <scheme val="minor"/>
    </font>
    <font>
      <b/>
      <sz val="8"/>
      <name val="Calibri"/>
      <family val="2"/>
      <scheme val="minor"/>
    </font>
    <font>
      <b/>
      <sz val="10"/>
      <name val="Calibri"/>
      <family val="2"/>
      <scheme val="minor"/>
    </font>
    <font>
      <i/>
      <sz val="8"/>
      <name val="Calibri"/>
      <family val="2"/>
      <scheme val="minor"/>
    </font>
    <font>
      <sz val="10"/>
      <name val="Calibri"/>
      <family val="2"/>
      <scheme val="minor"/>
    </font>
    <font>
      <i/>
      <u/>
      <sz val="10"/>
      <name val="Calibri"/>
      <family val="2"/>
      <scheme val="minor"/>
    </font>
    <font>
      <i/>
      <sz val="10"/>
      <name val="Calibri"/>
      <family val="2"/>
      <scheme val="minor"/>
    </font>
    <font>
      <i/>
      <u/>
      <sz val="11"/>
      <name val="Calibri"/>
      <family val="2"/>
      <scheme val="minor"/>
    </font>
    <font>
      <u/>
      <sz val="11"/>
      <color theme="10"/>
      <name val="Calibri"/>
      <family val="2"/>
      <scheme val="minor"/>
    </font>
    <font>
      <b/>
      <sz val="18"/>
      <name val="Calibri"/>
      <family val="2"/>
      <scheme val="minor"/>
    </font>
    <font>
      <i/>
      <sz val="9"/>
      <name val="Calibri"/>
      <family val="2"/>
      <scheme val="minor"/>
    </font>
    <font>
      <sz val="10"/>
      <color rgb="FF3C3C3C"/>
      <name val="Calibri"/>
      <family val="2"/>
      <scheme val="minor"/>
    </font>
    <font>
      <b/>
      <sz val="11"/>
      <color rgb="FFFFFFFF"/>
      <name val="Calibri"/>
      <family val="2"/>
      <scheme val="minor"/>
    </font>
    <font>
      <i/>
      <sz val="10"/>
      <color rgb="FF555555"/>
      <name val="Calibri"/>
      <family val="2"/>
      <scheme val="minor"/>
    </font>
    <font>
      <sz val="10"/>
      <color rgb="FF000000"/>
      <name val="Calibri"/>
      <family val="2"/>
      <scheme val="minor"/>
    </font>
    <font>
      <sz val="10"/>
      <color rgb="FF008000"/>
      <name val="Calibri"/>
      <family val="2"/>
      <scheme val="minor"/>
    </font>
    <font>
      <b/>
      <sz val="11"/>
      <color theme="0"/>
      <name val="Calibri"/>
      <family val="2"/>
      <scheme val="minor"/>
    </font>
    <font>
      <b/>
      <sz val="10"/>
      <color theme="0"/>
      <name val="Calibri"/>
      <family val="2"/>
      <scheme val="minor"/>
    </font>
    <font>
      <i/>
      <sz val="11"/>
      <color theme="1"/>
      <name val="Calibri"/>
      <family val="2"/>
      <scheme val="minor"/>
    </font>
    <font>
      <i/>
      <sz val="10"/>
      <color rgb="FFC00000"/>
      <name val="Calibri"/>
      <family val="2"/>
      <scheme val="minor"/>
    </font>
    <font>
      <b/>
      <sz val="10"/>
      <color rgb="FF008000"/>
      <name val="Calibri"/>
      <family val="2"/>
      <scheme val="minor"/>
    </font>
    <font>
      <b/>
      <sz val="11"/>
      <color rgb="FF3C3C3C"/>
      <name val="Calibri"/>
      <family val="2"/>
      <scheme val="minor"/>
    </font>
    <font>
      <b/>
      <sz val="10"/>
      <color rgb="FFFFFFFF"/>
      <name val="Calibri"/>
      <family val="2"/>
      <scheme val="minor"/>
    </font>
    <font>
      <b/>
      <sz val="20"/>
      <color rgb="FF3C5E86"/>
      <name val="Calibri"/>
      <family val="2"/>
      <scheme val="minor"/>
    </font>
    <font>
      <i/>
      <sz val="11"/>
      <color rgb="FF4C7870"/>
      <name val="Calibri"/>
      <family val="2"/>
      <scheme val="minor"/>
    </font>
    <font>
      <b/>
      <sz val="10"/>
      <color rgb="FF3C3C3C"/>
      <name val="Calibri"/>
      <family val="2"/>
      <scheme val="minor"/>
    </font>
    <font>
      <b/>
      <sz val="12"/>
      <color rgb="FFFFFFFF"/>
      <name val="Calibri"/>
      <family val="2"/>
      <scheme val="minor"/>
    </font>
    <font>
      <i/>
      <sz val="9"/>
      <color rgb="FF4C7870"/>
      <name val="Calibri"/>
      <family val="2"/>
      <scheme val="minor"/>
    </font>
    <font>
      <b/>
      <sz val="9"/>
      <color rgb="FF4C7870"/>
      <name val="Calibri"/>
      <family val="2"/>
      <scheme val="minor"/>
    </font>
    <font>
      <sz val="10"/>
      <color rgb="FF5F5E5A"/>
      <name val="Calibri"/>
      <family val="2"/>
      <scheme val="minor"/>
    </font>
    <font>
      <b/>
      <i/>
      <sz val="12"/>
      <color rgb="FF3C5E86"/>
      <name val="Calibri"/>
      <family val="2"/>
      <scheme val="minor"/>
    </font>
    <font>
      <b/>
      <sz val="16"/>
      <color rgb="FFFFFFFF"/>
      <name val="Calibri"/>
      <family val="2"/>
      <scheme val="minor"/>
    </font>
    <font>
      <b/>
      <sz val="13"/>
      <color rgb="FFFFFFFF"/>
      <name val="Calibri"/>
      <family val="2"/>
      <scheme val="minor"/>
    </font>
    <font>
      <b/>
      <sz val="11"/>
      <color rgb="FF4C7870"/>
      <name val="Calibri"/>
      <family val="2"/>
      <scheme val="minor"/>
    </font>
    <font>
      <b/>
      <sz val="10"/>
      <color rgb="FF3C5E86"/>
      <name val="Calibri"/>
      <family val="2"/>
      <scheme val="minor"/>
    </font>
    <font>
      <i/>
      <sz val="9"/>
      <color rgb="FF5F5E5A"/>
      <name val="Calibri"/>
      <family val="2"/>
      <scheme val="minor"/>
    </font>
    <font>
      <sz val="11"/>
      <color rgb="FFFFFFFF"/>
      <name val="Calibri"/>
      <family val="2"/>
      <scheme val="minor"/>
    </font>
    <font>
      <b/>
      <sz val="22"/>
      <color rgb="FFFFFFFF"/>
      <name val="Calibri"/>
      <family val="2"/>
      <scheme val="minor"/>
    </font>
    <font>
      <sz val="11"/>
      <color rgb="FF3C3C3C"/>
      <name val="Calibri"/>
      <family val="2"/>
      <scheme val="minor"/>
    </font>
    <font>
      <b/>
      <sz val="13"/>
      <color rgb="FF1F3A5F"/>
      <name val="Calibri"/>
      <family val="2"/>
      <scheme val="minor"/>
    </font>
    <font>
      <b/>
      <sz val="20"/>
      <color rgb="FF5E948A"/>
      <name val="Calibri"/>
      <family val="2"/>
      <scheme val="minor"/>
    </font>
    <font>
      <i/>
      <u/>
      <sz val="11"/>
      <color theme="10"/>
      <name val="Calibri"/>
      <family val="2"/>
    </font>
    <font>
      <sz val="9"/>
      <color theme="1"/>
      <name val="Calibri"/>
      <family val="2"/>
      <scheme val="minor"/>
    </font>
    <font>
      <b/>
      <i/>
      <sz val="10"/>
      <name val="Calibri"/>
      <family val="2"/>
      <scheme val="minor"/>
    </font>
    <font>
      <i/>
      <sz val="11"/>
      <color theme="1" tint="0.499984740745262"/>
      <name val="Calibri"/>
      <family val="2"/>
      <scheme val="minor"/>
    </font>
    <font>
      <b/>
      <i/>
      <sz val="11"/>
      <color theme="1" tint="0.499984740745262"/>
      <name val="Calibri"/>
      <family val="2"/>
      <scheme val="minor"/>
    </font>
    <font>
      <b/>
      <i/>
      <sz val="10"/>
      <color rgb="FFFFFFFF"/>
      <name val="Calibri"/>
      <family val="2"/>
      <scheme val="minor"/>
    </font>
    <font>
      <b/>
      <i/>
      <sz val="10"/>
      <color rgb="FF4C7870"/>
      <name val="Calibri"/>
      <family val="2"/>
      <scheme val="minor"/>
    </font>
    <font>
      <b/>
      <i/>
      <sz val="10"/>
      <color rgb="FF000000"/>
      <name val="Calibri"/>
      <family val="2"/>
      <scheme val="minor"/>
    </font>
    <font>
      <i/>
      <sz val="10"/>
      <color rgb="FF000000"/>
      <name val="Calibri"/>
      <family val="2"/>
      <scheme val="minor"/>
    </font>
    <font>
      <sz val="10"/>
      <color theme="1"/>
      <name val="Calibri"/>
      <family val="2"/>
      <scheme val="minor"/>
    </font>
    <font>
      <i/>
      <sz val="10"/>
      <color rgb="FF666666"/>
      <name val="Calibri"/>
      <family val="2"/>
      <scheme val="minor"/>
    </font>
    <font>
      <i/>
      <sz val="10"/>
      <color rgb="FF999999"/>
      <name val="Calibri"/>
      <family val="2"/>
      <scheme val="minor"/>
    </font>
    <font>
      <b/>
      <i/>
      <sz val="10"/>
      <color rgb="FFFF0000"/>
      <name val="Calibri"/>
      <family val="2"/>
      <scheme val="minor"/>
    </font>
    <font>
      <b/>
      <sz val="10"/>
      <color theme="1"/>
      <name val="Calibri"/>
      <family val="2"/>
      <scheme val="minor"/>
    </font>
    <font>
      <sz val="10"/>
      <color theme="0"/>
      <name val="Calibri"/>
      <family val="2"/>
      <scheme val="minor"/>
    </font>
    <font>
      <b/>
      <sz val="10"/>
      <color rgb="FF0070C0"/>
      <name val="Calibri"/>
      <family val="2"/>
      <scheme val="minor"/>
    </font>
    <font>
      <b/>
      <sz val="10"/>
      <color rgb="FF000000"/>
      <name val="Calibri"/>
      <family val="2"/>
      <scheme val="minor"/>
    </font>
    <font>
      <i/>
      <sz val="10"/>
      <color theme="1"/>
      <name val="Calibri"/>
      <family val="2"/>
      <scheme val="minor"/>
    </font>
    <font>
      <i/>
      <u/>
      <sz val="10"/>
      <color theme="1"/>
      <name val="Calibri"/>
      <family val="2"/>
      <scheme val="minor"/>
    </font>
    <font>
      <b/>
      <i/>
      <sz val="10"/>
      <color theme="1"/>
      <name val="Calibri"/>
      <family val="2"/>
      <scheme val="minor"/>
    </font>
    <font>
      <sz val="10"/>
      <color rgb="FFC00000"/>
      <name val="Calibri"/>
      <family val="2"/>
      <scheme val="minor"/>
    </font>
    <font>
      <b/>
      <i/>
      <sz val="11"/>
      <name val="Calibri"/>
      <family val="2"/>
    </font>
    <font>
      <i/>
      <sz val="11"/>
      <name val="Calibri"/>
      <family val="2"/>
    </font>
    <font>
      <i/>
      <sz val="9"/>
      <name val="Calibri"/>
      <family val="2"/>
    </font>
    <font>
      <i/>
      <sz val="11"/>
      <color theme="1"/>
      <name val="Calibri"/>
      <family val="2"/>
    </font>
  </fonts>
  <fills count="17">
    <fill>
      <patternFill patternType="none"/>
    </fill>
    <fill>
      <patternFill patternType="gray125"/>
    </fill>
    <fill>
      <patternFill patternType="solid">
        <fgColor theme="8" tint="0.79979857783745845"/>
        <bgColor rgb="FFD9E2F3"/>
      </patternFill>
    </fill>
    <fill>
      <patternFill patternType="solid">
        <fgColor rgb="FFFFCCCC"/>
        <bgColor indexed="64"/>
      </patternFill>
    </fill>
    <fill>
      <patternFill patternType="solid">
        <fgColor rgb="FFFFF2CC"/>
      </patternFill>
    </fill>
    <fill>
      <patternFill patternType="solid">
        <fgColor rgb="FFE8F2DC"/>
      </patternFill>
    </fill>
    <fill>
      <patternFill patternType="solid">
        <fgColor rgb="FFE8F0EE"/>
      </patternFill>
    </fill>
    <fill>
      <patternFill patternType="solid">
        <fgColor rgb="FFF1EFE8"/>
      </patternFill>
    </fill>
    <fill>
      <patternFill patternType="solid">
        <fgColor rgb="FF4C7870"/>
      </patternFill>
    </fill>
    <fill>
      <patternFill patternType="solid">
        <fgColor theme="6"/>
        <bgColor rgb="FF2F5496"/>
      </patternFill>
    </fill>
    <fill>
      <patternFill patternType="solid">
        <fgColor rgb="FF3C5E86"/>
      </patternFill>
    </fill>
    <fill>
      <patternFill patternType="solid">
        <fgColor rgb="FF5E948A"/>
      </patternFill>
    </fill>
    <fill>
      <patternFill patternType="solid">
        <fgColor rgb="FFD7E5E2"/>
      </patternFill>
    </fill>
    <fill>
      <patternFill patternType="solid">
        <fgColor rgb="FFD7E5E2"/>
        <bgColor indexed="64"/>
      </patternFill>
    </fill>
    <fill>
      <patternFill patternType="solid">
        <fgColor rgb="FF3C5E86"/>
        <bgColor indexed="64"/>
      </patternFill>
    </fill>
    <fill>
      <patternFill patternType="solid">
        <fgColor theme="0" tint="-0.14999847407452621"/>
        <bgColor indexed="64"/>
      </patternFill>
    </fill>
    <fill>
      <patternFill patternType="solid">
        <fgColor theme="0" tint="-0.14999847407452621"/>
        <bgColor rgb="FF2F5496"/>
      </patternFill>
    </fill>
  </fills>
  <borders count="35">
    <border>
      <left/>
      <right/>
      <top/>
      <bottom/>
      <diagonal/>
    </border>
    <border>
      <left style="double">
        <color rgb="FF7F7F7F"/>
      </left>
      <right style="double">
        <color rgb="FF7F7F7F"/>
      </right>
      <top style="double">
        <color rgb="FF7F7F7F"/>
      </top>
      <bottom style="double">
        <color rgb="FF7F7F7F"/>
      </bottom>
      <diagonal/>
    </border>
    <border>
      <left style="double">
        <color auto="1"/>
      </left>
      <right style="double">
        <color auto="1"/>
      </right>
      <top style="double">
        <color auto="1"/>
      </top>
      <bottom style="double">
        <color auto="1"/>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bottom style="medium">
        <color rgb="FFFF0000"/>
      </bottom>
      <diagonal/>
    </border>
    <border>
      <left/>
      <right style="double">
        <color auto="1"/>
      </right>
      <top style="double">
        <color auto="1"/>
      </top>
      <bottom style="double">
        <color auto="1"/>
      </bottom>
      <diagonal/>
    </border>
    <border>
      <left style="thin">
        <color rgb="FFBFBFBF"/>
      </left>
      <right style="thin">
        <color rgb="FFBFBFBF"/>
      </right>
      <top style="thin">
        <color rgb="FFBFBFBF"/>
      </top>
      <bottom style="thin">
        <color rgb="FFBFBFBF"/>
      </bottom>
      <diagonal/>
    </border>
    <border>
      <left style="thin">
        <color rgb="FFFFFFFF"/>
      </left>
      <right style="thin">
        <color rgb="FFFFFFFF"/>
      </right>
      <top style="thin">
        <color rgb="FFFFFFFF"/>
      </top>
      <bottom style="thin">
        <color rgb="FFFFFFFF"/>
      </bottom>
      <diagonal/>
    </border>
    <border>
      <left style="thin">
        <color rgb="FFBFBFBF"/>
      </left>
      <right/>
      <top/>
      <bottom/>
      <diagonal/>
    </border>
    <border>
      <left/>
      <right/>
      <top style="thin">
        <color auto="1"/>
      </top>
      <bottom style="medium">
        <color auto="1"/>
      </bottom>
      <diagonal/>
    </border>
    <border>
      <left/>
      <right/>
      <top/>
      <bottom style="thin">
        <color rgb="FFBFBFBF"/>
      </bottom>
      <diagonal/>
    </border>
    <border>
      <left/>
      <right/>
      <top style="thin">
        <color rgb="FFBFBFBF"/>
      </top>
      <bottom style="thin">
        <color rgb="FFBFBFBF"/>
      </bottom>
      <diagonal/>
    </border>
    <border>
      <left style="thin">
        <color auto="1"/>
      </left>
      <right style="thin">
        <color auto="1"/>
      </right>
      <top style="thin">
        <color rgb="FFBFBFBF"/>
      </top>
      <bottom style="thin">
        <color rgb="FFBFBFBF"/>
      </bottom>
      <diagonal/>
    </border>
    <border>
      <left/>
      <right/>
      <top style="thin">
        <color rgb="FFBFBFBF"/>
      </top>
      <bottom/>
      <diagonal/>
    </border>
    <border>
      <left style="thin">
        <color auto="1"/>
      </left>
      <right style="thin">
        <color auto="1"/>
      </right>
      <top/>
      <bottom style="thin">
        <color rgb="FFBFBFBF"/>
      </bottom>
      <diagonal/>
    </border>
    <border>
      <left style="thin">
        <color auto="1"/>
      </left>
      <right style="thin">
        <color auto="1"/>
      </right>
      <top/>
      <bottom/>
      <diagonal/>
    </border>
    <border>
      <left style="thin">
        <color auto="1"/>
      </left>
      <right style="thin">
        <color auto="1"/>
      </right>
      <top style="thin">
        <color auto="1"/>
      </top>
      <bottom style="thin">
        <color rgb="FFBFBFBF"/>
      </bottom>
      <diagonal/>
    </border>
    <border>
      <left/>
      <right/>
      <top style="thin">
        <color rgb="FFBFBFBF"/>
      </top>
      <bottom style="double">
        <color auto="1"/>
      </bottom>
      <diagonal/>
    </border>
    <border>
      <left/>
      <right/>
      <top style="thin">
        <color auto="1"/>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style="thin">
        <color rgb="FFBFBFBF"/>
      </bottom>
      <diagonal/>
    </border>
    <border>
      <left style="thin">
        <color rgb="FFB0B0B0"/>
      </left>
      <right style="thin">
        <color rgb="FFB0B0B0"/>
      </right>
      <top style="thin">
        <color rgb="FFB0B0B0"/>
      </top>
      <bottom style="thin">
        <color rgb="FFBFBFBF"/>
      </bottom>
      <diagonal/>
    </border>
    <border>
      <left style="thin">
        <color rgb="FFB0B0B0"/>
      </left>
      <right style="thin">
        <color rgb="FFB0B0B0"/>
      </right>
      <top style="thin">
        <color rgb="FFBFBFBF"/>
      </top>
      <bottom style="thin">
        <color rgb="FFBFBFBF"/>
      </bottom>
      <diagonal/>
    </border>
  </borders>
  <cellStyleXfs count="7">
    <xf numFmtId="0" fontId="0" fillId="0" borderId="0"/>
    <xf numFmtId="0" fontId="2" fillId="0" borderId="0"/>
    <xf numFmtId="0" fontId="3" fillId="2" borderId="1"/>
    <xf numFmtId="9" fontId="4" fillId="0" borderId="0"/>
    <xf numFmtId="38" fontId="4" fillId="0" borderId="0">
      <alignment vertical="center"/>
    </xf>
    <xf numFmtId="0" fontId="5" fillId="0" borderId="0"/>
    <xf numFmtId="0" fontId="2" fillId="0" borderId="0" applyNumberFormat="0" applyFill="0" applyBorder="0" applyAlignment="0" applyProtection="0"/>
  </cellStyleXfs>
  <cellXfs count="357">
    <xf numFmtId="0" fontId="0" fillId="0" borderId="0" xfId="0"/>
    <xf numFmtId="0" fontId="6" fillId="0" borderId="0" xfId="0" applyFont="1" applyAlignment="1">
      <alignment vertical="center"/>
    </xf>
    <xf numFmtId="0" fontId="6" fillId="0" borderId="0" xfId="0" applyFont="1" applyAlignment="1" applyProtection="1">
      <alignment vertical="center"/>
      <protection locked="0"/>
    </xf>
    <xf numFmtId="0" fontId="8" fillId="0" borderId="0" xfId="0" applyFont="1" applyAlignment="1">
      <alignment horizontal="left" vertical="center"/>
    </xf>
    <xf numFmtId="0" fontId="7" fillId="0" borderId="6" xfId="0" applyFont="1" applyBorder="1" applyAlignment="1" applyProtection="1">
      <alignment horizontal="left" vertical="center" wrapText="1"/>
      <protection locked="0"/>
    </xf>
    <xf numFmtId="0" fontId="10" fillId="7" borderId="0" xfId="0" applyFont="1" applyFill="1" applyAlignment="1" applyProtection="1">
      <alignment horizontal="left" vertical="center" wrapText="1"/>
      <protection locked="0"/>
    </xf>
    <xf numFmtId="0" fontId="6" fillId="0" borderId="0" xfId="0" applyFont="1" applyAlignment="1">
      <alignment horizontal="right" vertical="center"/>
    </xf>
    <xf numFmtId="0" fontId="8" fillId="0" borderId="0" xfId="0" applyFont="1" applyAlignment="1">
      <alignment vertical="center"/>
    </xf>
    <xf numFmtId="0" fontId="13" fillId="0" borderId="18" xfId="0" applyFont="1" applyBorder="1"/>
    <xf numFmtId="0" fontId="13" fillId="0" borderId="18" xfId="0" applyFont="1" applyBorder="1" applyAlignment="1">
      <alignment horizontal="center"/>
    </xf>
    <xf numFmtId="167" fontId="13" fillId="0" borderId="18" xfId="0" applyNumberFormat="1" applyFont="1" applyBorder="1" applyAlignment="1">
      <alignment horizontal="center"/>
    </xf>
    <xf numFmtId="164" fontId="13" fillId="0" borderId="18" xfId="0" applyNumberFormat="1" applyFont="1" applyBorder="1" applyAlignment="1">
      <alignment horizontal="center"/>
    </xf>
    <xf numFmtId="0" fontId="19" fillId="0" borderId="0" xfId="0" applyFont="1" applyAlignment="1">
      <alignment horizontal="left" vertical="center" wrapText="1"/>
    </xf>
    <xf numFmtId="0" fontId="7" fillId="0" borderId="18" xfId="0" applyFont="1" applyBorder="1" applyAlignment="1">
      <alignment horizontal="center" vertical="center" wrapText="1"/>
    </xf>
    <xf numFmtId="0" fontId="13" fillId="0" borderId="0" xfId="0" applyFont="1"/>
    <xf numFmtId="0" fontId="13" fillId="0" borderId="18" xfId="0" applyFont="1" applyBorder="1" applyAlignment="1">
      <alignment horizontal="right" vertical="center"/>
    </xf>
    <xf numFmtId="0" fontId="5" fillId="0" borderId="0" xfId="0" applyFont="1"/>
    <xf numFmtId="1" fontId="26" fillId="0" borderId="0" xfId="0" applyNumberFormat="1" applyFont="1" applyAlignment="1">
      <alignment horizontal="center" vertical="center"/>
    </xf>
    <xf numFmtId="1" fontId="26" fillId="0" borderId="13" xfId="0" applyNumberFormat="1" applyFont="1" applyBorder="1" applyAlignment="1">
      <alignment horizontal="center" vertical="center"/>
    </xf>
    <xf numFmtId="0" fontId="11" fillId="7" borderId="12" xfId="0" applyFont="1" applyFill="1" applyBorder="1"/>
    <xf numFmtId="3" fontId="13" fillId="7" borderId="0" xfId="0" applyNumberFormat="1" applyFont="1" applyFill="1" applyAlignment="1">
      <alignment horizontal="center"/>
    </xf>
    <xf numFmtId="3" fontId="13" fillId="7" borderId="13" xfId="0" applyNumberFormat="1" applyFont="1" applyFill="1" applyBorder="1" applyAlignment="1">
      <alignment horizontal="center"/>
    </xf>
    <xf numFmtId="0" fontId="13" fillId="0" borderId="12" xfId="0" applyFont="1" applyBorder="1"/>
    <xf numFmtId="3" fontId="13" fillId="0" borderId="0" xfId="0" applyNumberFormat="1" applyFont="1" applyAlignment="1">
      <alignment horizontal="center"/>
    </xf>
    <xf numFmtId="3" fontId="13" fillId="0" borderId="13" xfId="0" applyNumberFormat="1" applyFont="1" applyBorder="1" applyAlignment="1">
      <alignment horizontal="center"/>
    </xf>
    <xf numFmtId="166" fontId="11" fillId="7" borderId="12" xfId="4" applyNumberFormat="1" applyFont="1" applyFill="1" applyBorder="1" applyAlignment="1"/>
    <xf numFmtId="166" fontId="13" fillId="0" borderId="12" xfId="4" applyNumberFormat="1" applyFont="1" applyBorder="1" applyAlignment="1"/>
    <xf numFmtId="0" fontId="28" fillId="0" borderId="0" xfId="0" applyFont="1"/>
    <xf numFmtId="0" fontId="29" fillId="0" borderId="0" xfId="0" applyFont="1" applyAlignment="1">
      <alignment vertical="center"/>
    </xf>
    <xf numFmtId="0" fontId="27" fillId="0" borderId="0" xfId="0" applyFont="1"/>
    <xf numFmtId="0" fontId="34" fillId="0" borderId="0" xfId="0" applyFont="1" applyAlignment="1">
      <alignment horizontal="left" vertical="center" wrapText="1"/>
    </xf>
    <xf numFmtId="0" fontId="20" fillId="0" borderId="0" xfId="0" applyFont="1" applyAlignment="1">
      <alignment horizontal="left" vertical="center" wrapText="1"/>
    </xf>
    <xf numFmtId="1" fontId="38" fillId="0" borderId="19" xfId="0" applyNumberFormat="1" applyFont="1" applyBorder="1" applyAlignment="1">
      <alignment horizontal="center" vertical="center" wrapText="1"/>
    </xf>
    <xf numFmtId="1" fontId="38" fillId="0" borderId="0" xfId="0" applyNumberFormat="1" applyFont="1" applyAlignment="1">
      <alignment horizontal="center" vertical="center" wrapText="1"/>
    </xf>
    <xf numFmtId="0" fontId="25" fillId="9" borderId="0" xfId="0" applyFont="1" applyFill="1" applyAlignment="1" applyProtection="1">
      <alignment vertical="center"/>
      <protection locked="0"/>
    </xf>
    <xf numFmtId="0" fontId="43" fillId="4" borderId="18" xfId="0" applyFont="1" applyFill="1" applyBorder="1" applyAlignment="1" applyProtection="1">
      <alignment horizontal="center"/>
      <protection locked="0"/>
    </xf>
    <xf numFmtId="2" fontId="43" fillId="4" borderId="18" xfId="0" applyNumberFormat="1" applyFont="1" applyFill="1" applyBorder="1" applyAlignment="1" applyProtection="1">
      <alignment horizontal="center"/>
      <protection locked="0"/>
    </xf>
    <xf numFmtId="0" fontId="43" fillId="4" borderId="18" xfId="0" applyFont="1" applyFill="1" applyBorder="1" applyAlignment="1" applyProtection="1">
      <alignment horizontal="left" vertical="top" wrapText="1"/>
      <protection locked="0"/>
    </xf>
    <xf numFmtId="1" fontId="43" fillId="4" borderId="18" xfId="0" applyNumberFormat="1" applyFont="1" applyFill="1" applyBorder="1" applyAlignment="1" applyProtection="1">
      <alignment horizontal="center"/>
      <protection locked="0"/>
    </xf>
    <xf numFmtId="0" fontId="49" fillId="0" borderId="0" xfId="0" applyFont="1" applyAlignment="1">
      <alignment horizontal="center" vertical="center" wrapText="1"/>
    </xf>
    <xf numFmtId="0" fontId="15" fillId="0" borderId="7" xfId="0" applyFont="1" applyBorder="1" applyAlignment="1" applyProtection="1">
      <alignment vertical="top" wrapText="1"/>
      <protection locked="0"/>
    </xf>
    <xf numFmtId="165" fontId="13" fillId="0" borderId="0" xfId="0" applyNumberFormat="1" applyFont="1" applyAlignment="1">
      <alignment horizontal="center"/>
    </xf>
    <xf numFmtId="0" fontId="30" fillId="0" borderId="0" xfId="0" applyFont="1" applyAlignment="1">
      <alignment horizontal="center" vertical="top" wrapText="1"/>
    </xf>
    <xf numFmtId="0" fontId="37" fillId="12" borderId="0" xfId="0" applyFont="1" applyFill="1" applyAlignment="1">
      <alignment horizontal="center" vertical="center" wrapText="1"/>
    </xf>
    <xf numFmtId="0" fontId="11" fillId="12" borderId="0" xfId="0" applyFont="1" applyFill="1"/>
    <xf numFmtId="0" fontId="22" fillId="0" borderId="18" xfId="0" applyFont="1" applyBorder="1"/>
    <xf numFmtId="0" fontId="23" fillId="0" borderId="18" xfId="0" applyFont="1" applyBorder="1"/>
    <xf numFmtId="164" fontId="24" fillId="0" borderId="18" xfId="0" applyNumberFormat="1" applyFont="1" applyBorder="1" applyAlignment="1">
      <alignment horizontal="center"/>
    </xf>
    <xf numFmtId="164" fontId="23" fillId="0" borderId="18" xfId="0" applyNumberFormat="1" applyFont="1" applyBorder="1"/>
    <xf numFmtId="164" fontId="23" fillId="0" borderId="18" xfId="0" applyNumberFormat="1" applyFont="1" applyBorder="1" applyAlignment="1">
      <alignment horizontal="center"/>
    </xf>
    <xf numFmtId="0" fontId="11" fillId="12" borderId="0" xfId="0" applyFont="1" applyFill="1" applyAlignment="1">
      <alignment horizontal="center" vertical="center"/>
    </xf>
    <xf numFmtId="0" fontId="11" fillId="12" borderId="13" xfId="0" applyFont="1" applyFill="1" applyBorder="1" applyAlignment="1">
      <alignment horizontal="center" vertical="center"/>
    </xf>
    <xf numFmtId="0" fontId="50" fillId="0" borderId="0" xfId="6" applyFont="1" applyAlignment="1">
      <alignment horizontal="left" vertical="top" wrapText="1"/>
    </xf>
    <xf numFmtId="0" fontId="50" fillId="0" borderId="0" xfId="6" applyFont="1" applyAlignment="1"/>
    <xf numFmtId="0" fontId="14" fillId="0" borderId="0" xfId="0" applyFont="1" applyAlignment="1" applyProtection="1">
      <alignment horizontal="center" vertical="top" wrapText="1"/>
      <protection locked="0"/>
    </xf>
    <xf numFmtId="0" fontId="6" fillId="0" borderId="0" xfId="0" applyFont="1" applyProtection="1">
      <protection locked="0"/>
    </xf>
    <xf numFmtId="0" fontId="15" fillId="0" borderId="0" xfId="0" applyFont="1" applyAlignment="1" applyProtection="1">
      <alignment horizontal="center" vertical="top" wrapText="1"/>
      <protection locked="0"/>
    </xf>
    <xf numFmtId="0" fontId="15" fillId="0" borderId="0" xfId="0" applyFont="1" applyAlignment="1" applyProtection="1">
      <alignment vertical="top" wrapText="1"/>
      <protection locked="0"/>
    </xf>
    <xf numFmtId="0" fontId="15" fillId="0" borderId="0" xfId="0" applyFont="1" applyAlignment="1">
      <alignment horizontal="left" vertical="top" wrapText="1"/>
    </xf>
    <xf numFmtId="0" fontId="53" fillId="0" borderId="0" xfId="0" applyFont="1"/>
    <xf numFmtId="0" fontId="11" fillId="13" borderId="0" xfId="0" applyFont="1" applyFill="1"/>
    <xf numFmtId="0" fontId="57" fillId="0" borderId="23" xfId="0" applyFont="1" applyBorder="1"/>
    <xf numFmtId="0" fontId="29" fillId="0" borderId="23" xfId="0" applyFont="1" applyBorder="1" applyAlignment="1">
      <alignment vertical="center"/>
    </xf>
    <xf numFmtId="0" fontId="56" fillId="13" borderId="23" xfId="0" applyFont="1" applyFill="1" applyBorder="1"/>
    <xf numFmtId="0" fontId="7" fillId="0" borderId="7" xfId="0" applyFont="1" applyBorder="1" applyAlignment="1" applyProtection="1">
      <alignment vertical="center"/>
      <protection locked="0"/>
    </xf>
    <xf numFmtId="0" fontId="9" fillId="0" borderId="7" xfId="0" applyFont="1" applyBorder="1" applyAlignment="1" applyProtection="1">
      <alignment horizontal="left" vertical="center"/>
      <protection locked="0"/>
    </xf>
    <xf numFmtId="0" fontId="6" fillId="0" borderId="23" xfId="0" applyFont="1" applyBorder="1" applyAlignment="1" applyProtection="1">
      <alignment horizontal="left" vertical="center"/>
      <protection locked="0"/>
    </xf>
    <xf numFmtId="0" fontId="8" fillId="0" borderId="23" xfId="0" applyFont="1" applyBorder="1" applyAlignment="1" applyProtection="1">
      <alignment horizontal="left" vertical="center"/>
      <protection locked="0"/>
    </xf>
    <xf numFmtId="0" fontId="7" fillId="0" borderId="23" xfId="0" applyFont="1" applyBorder="1" applyAlignment="1" applyProtection="1">
      <alignment vertical="center"/>
      <protection locked="0"/>
    </xf>
    <xf numFmtId="2" fontId="7" fillId="0" borderId="23" xfId="0" applyNumberFormat="1" applyFont="1" applyBorder="1" applyAlignment="1" applyProtection="1">
      <alignment vertical="center"/>
      <protection locked="0"/>
    </xf>
    <xf numFmtId="2" fontId="6" fillId="7" borderId="23" xfId="0" applyNumberFormat="1" applyFont="1" applyFill="1" applyBorder="1" applyAlignment="1">
      <alignment vertical="center"/>
    </xf>
    <xf numFmtId="165" fontId="7" fillId="7" borderId="23" xfId="0" applyNumberFormat="1" applyFont="1" applyFill="1" applyBorder="1" applyAlignment="1">
      <alignment vertical="center"/>
    </xf>
    <xf numFmtId="0" fontId="8" fillId="0" borderId="25" xfId="0" applyFont="1" applyBorder="1" applyAlignment="1" applyProtection="1">
      <alignment vertical="top"/>
      <protection locked="0"/>
    </xf>
    <xf numFmtId="0" fontId="12" fillId="0" borderId="25" xfId="0" applyFont="1" applyBorder="1" applyAlignment="1" applyProtection="1">
      <alignment horizontal="left" vertical="top"/>
      <protection locked="0"/>
    </xf>
    <xf numFmtId="0" fontId="13" fillId="0" borderId="25" xfId="0" applyFont="1" applyBorder="1" applyAlignment="1">
      <alignment vertical="top" wrapText="1"/>
    </xf>
    <xf numFmtId="0" fontId="14" fillId="0" borderId="25" xfId="0" applyFont="1" applyBorder="1" applyAlignment="1" applyProtection="1">
      <alignment horizontal="left" vertical="top" wrapText="1"/>
      <protection locked="0"/>
    </xf>
    <xf numFmtId="0" fontId="7" fillId="0" borderId="7" xfId="0" applyFont="1" applyBorder="1" applyAlignment="1">
      <alignment vertical="center"/>
    </xf>
    <xf numFmtId="0" fontId="6" fillId="0" borderId="22" xfId="0" applyFont="1" applyBorder="1" applyAlignment="1">
      <alignment vertical="center"/>
    </xf>
    <xf numFmtId="0" fontId="6" fillId="0" borderId="23" xfId="0" applyFont="1" applyBorder="1" applyAlignment="1">
      <alignment vertical="center"/>
    </xf>
    <xf numFmtId="0" fontId="6" fillId="0" borderId="23" xfId="0" applyFont="1" applyBorder="1"/>
    <xf numFmtId="0" fontId="7" fillId="0" borderId="31" xfId="0" applyFont="1" applyBorder="1" applyAlignment="1">
      <alignment horizontal="left" indent="1"/>
    </xf>
    <xf numFmtId="0" fontId="7" fillId="0" borderId="31" xfId="0" applyFont="1" applyBorder="1" applyAlignment="1">
      <alignment horizontal="center"/>
    </xf>
    <xf numFmtId="0" fontId="19" fillId="0" borderId="32" xfId="0" applyFont="1" applyBorder="1" applyAlignment="1">
      <alignment horizontal="left" vertical="center" wrapText="1"/>
    </xf>
    <xf numFmtId="0" fontId="7" fillId="0" borderId="31" xfId="0" applyFont="1" applyBorder="1" applyAlignment="1">
      <alignment horizontal="center" vertical="center" wrapText="1"/>
    </xf>
    <xf numFmtId="0" fontId="13" fillId="0" borderId="23" xfId="0" applyFont="1" applyBorder="1"/>
    <xf numFmtId="0" fontId="7"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22" xfId="0" applyFont="1" applyBorder="1"/>
    <xf numFmtId="0" fontId="13" fillId="0" borderId="23" xfId="0" applyFont="1" applyBorder="1" applyAlignment="1">
      <alignment horizontal="center" vertical="center" wrapText="1"/>
    </xf>
    <xf numFmtId="168" fontId="13" fillId="0" borderId="23" xfId="0" applyNumberFormat="1" applyFont="1" applyBorder="1" applyAlignment="1">
      <alignment horizontal="center"/>
    </xf>
    <xf numFmtId="4" fontId="13" fillId="0" borderId="23" xfId="0" applyNumberFormat="1" applyFont="1" applyBorder="1" applyAlignment="1">
      <alignment horizontal="center"/>
    </xf>
    <xf numFmtId="165" fontId="13" fillId="0" borderId="23" xfId="0" applyNumberFormat="1" applyFont="1" applyBorder="1" applyAlignment="1">
      <alignment horizontal="center"/>
    </xf>
    <xf numFmtId="0" fontId="15" fillId="0" borderId="23" xfId="0" applyFont="1" applyBorder="1" applyAlignment="1">
      <alignment horizontal="left" vertical="top" wrapText="1"/>
    </xf>
    <xf numFmtId="0" fontId="11" fillId="0" borderId="23" xfId="0" applyFont="1" applyBorder="1" applyAlignment="1">
      <alignment horizontal="left" indent="1"/>
    </xf>
    <xf numFmtId="0" fontId="11" fillId="0" borderId="23" xfId="0" applyFont="1" applyBorder="1"/>
    <xf numFmtId="0" fontId="6" fillId="0" borderId="22" xfId="0" applyFont="1" applyBorder="1" applyAlignment="1" applyProtection="1">
      <alignment vertical="center"/>
      <protection locked="0"/>
    </xf>
    <xf numFmtId="0" fontId="16" fillId="0" borderId="22" xfId="0" applyFont="1" applyBorder="1" applyAlignment="1" applyProtection="1">
      <alignment vertical="center"/>
      <protection locked="0"/>
    </xf>
    <xf numFmtId="0" fontId="8" fillId="0" borderId="22" xfId="0" applyFont="1" applyBorder="1" applyAlignment="1" applyProtection="1">
      <alignment horizontal="left" vertical="center"/>
      <protection locked="0"/>
    </xf>
    <xf numFmtId="2" fontId="13" fillId="0" borderId="22" xfId="0" applyNumberFormat="1" applyFont="1" applyBorder="1" applyAlignment="1">
      <alignment vertical="center"/>
    </xf>
    <xf numFmtId="2" fontId="6" fillId="0" borderId="22" xfId="0" applyNumberFormat="1" applyFont="1" applyBorder="1" applyAlignment="1">
      <alignment vertical="center"/>
    </xf>
    <xf numFmtId="2" fontId="8" fillId="0" borderId="23" xfId="0" applyNumberFormat="1" applyFont="1" applyBorder="1" applyAlignment="1">
      <alignment vertical="center"/>
    </xf>
    <xf numFmtId="2" fontId="13" fillId="0" borderId="23" xfId="0" applyNumberFormat="1" applyFont="1" applyBorder="1" applyAlignment="1">
      <alignment vertical="center"/>
    </xf>
    <xf numFmtId="2" fontId="6" fillId="0" borderId="23" xfId="0" applyNumberFormat="1" applyFont="1" applyBorder="1" applyAlignment="1">
      <alignment vertical="center"/>
    </xf>
    <xf numFmtId="0" fontId="6" fillId="0" borderId="23" xfId="0" applyFont="1" applyBorder="1" applyAlignment="1" applyProtection="1">
      <alignment vertical="center"/>
      <protection locked="0"/>
    </xf>
    <xf numFmtId="0" fontId="16" fillId="0" borderId="23" xfId="0" applyFont="1" applyBorder="1" applyAlignment="1" applyProtection="1">
      <alignment vertical="center"/>
      <protection locked="0"/>
    </xf>
    <xf numFmtId="0" fontId="7" fillId="0" borderId="23" xfId="0" applyFont="1" applyBorder="1" applyAlignment="1">
      <alignment vertical="center"/>
    </xf>
    <xf numFmtId="0" fontId="9" fillId="0" borderId="23" xfId="0" applyFont="1" applyBorder="1" applyAlignment="1" applyProtection="1">
      <alignment horizontal="left" vertical="center"/>
      <protection locked="0"/>
    </xf>
    <xf numFmtId="0" fontId="2" fillId="0" borderId="23" xfId="6" applyFill="1" applyBorder="1" applyAlignment="1" applyProtection="1">
      <alignment vertical="center"/>
      <protection locked="0"/>
    </xf>
    <xf numFmtId="2" fontId="6" fillId="0" borderId="23" xfId="0" applyNumberFormat="1" applyFont="1" applyBorder="1" applyAlignment="1" applyProtection="1">
      <alignment vertical="center"/>
      <protection locked="0"/>
    </xf>
    <xf numFmtId="0" fontId="2" fillId="0" borderId="23" xfId="6" applyFill="1" applyBorder="1" applyAlignment="1">
      <alignment vertical="center"/>
    </xf>
    <xf numFmtId="0" fontId="8" fillId="0" borderId="23" xfId="0" applyFont="1" applyBorder="1" applyAlignment="1">
      <alignment vertical="center"/>
    </xf>
    <xf numFmtId="0" fontId="13" fillId="0" borderId="18" xfId="0" applyFont="1" applyBorder="1" applyAlignment="1">
      <alignment horizontal="left"/>
    </xf>
    <xf numFmtId="9" fontId="13" fillId="0" borderId="18" xfId="0" applyNumberFormat="1" applyFont="1" applyBorder="1"/>
    <xf numFmtId="164" fontId="13" fillId="0" borderId="18" xfId="0" applyNumberFormat="1" applyFont="1" applyBorder="1"/>
    <xf numFmtId="0" fontId="11" fillId="0" borderId="7" xfId="0" applyFont="1" applyBorder="1" applyAlignment="1" applyProtection="1">
      <alignment vertical="center"/>
      <protection locked="0"/>
    </xf>
    <xf numFmtId="0" fontId="52" fillId="0" borderId="7" xfId="0" applyFont="1" applyBorder="1" applyAlignment="1" applyProtection="1">
      <alignment horizontal="left" vertical="center"/>
      <protection locked="0"/>
    </xf>
    <xf numFmtId="0" fontId="52" fillId="0" borderId="7"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5" fillId="7" borderId="30" xfId="0" applyFont="1" applyFill="1" applyBorder="1" applyAlignment="1" applyProtection="1">
      <alignment horizontal="left" vertical="center"/>
      <protection locked="0"/>
    </xf>
    <xf numFmtId="0" fontId="52" fillId="7" borderId="30" xfId="0" applyFont="1" applyFill="1" applyBorder="1" applyAlignment="1" applyProtection="1">
      <alignment horizontal="left" vertical="center"/>
      <protection locked="0"/>
    </xf>
    <xf numFmtId="0" fontId="52" fillId="7" borderId="30" xfId="0" applyFont="1" applyFill="1" applyBorder="1" applyAlignment="1" applyProtection="1">
      <alignment horizontal="left" vertical="center" wrapText="1"/>
      <protection locked="0"/>
    </xf>
    <xf numFmtId="0" fontId="11" fillId="7" borderId="30" xfId="0" applyFont="1" applyFill="1" applyBorder="1" applyAlignment="1" applyProtection="1">
      <alignment horizontal="left" vertical="center" wrapText="1"/>
      <protection locked="0"/>
    </xf>
    <xf numFmtId="0" fontId="13" fillId="7" borderId="30" xfId="0" applyFont="1" applyFill="1" applyBorder="1" applyAlignment="1">
      <alignment wrapText="1"/>
    </xf>
    <xf numFmtId="0" fontId="11" fillId="7" borderId="0" xfId="0" applyFont="1" applyFill="1" applyAlignment="1" applyProtection="1">
      <alignment horizontal="left" vertical="center" wrapText="1"/>
      <protection locked="0"/>
    </xf>
    <xf numFmtId="2" fontId="13" fillId="7" borderId="7" xfId="0" applyNumberFormat="1" applyFont="1" applyFill="1" applyBorder="1" applyAlignment="1" applyProtection="1">
      <alignment vertical="center" wrapText="1"/>
      <protection locked="0"/>
    </xf>
    <xf numFmtId="0" fontId="59" fillId="0" borderId="0" xfId="0" applyFont="1"/>
    <xf numFmtId="0" fontId="11" fillId="0" borderId="0" xfId="0" applyFont="1" applyAlignment="1">
      <alignment horizontal="right" vertical="center"/>
    </xf>
    <xf numFmtId="0" fontId="61" fillId="0" borderId="0" xfId="0" applyFont="1"/>
    <xf numFmtId="0" fontId="31" fillId="10" borderId="18" xfId="0" applyFont="1" applyFill="1" applyBorder="1" applyAlignment="1">
      <alignment horizontal="center" vertical="center" wrapText="1"/>
    </xf>
    <xf numFmtId="0" fontId="63" fillId="0" borderId="9" xfId="0" applyFont="1" applyBorder="1"/>
    <xf numFmtId="0" fontId="59" fillId="0" borderId="10" xfId="0" applyFont="1" applyBorder="1"/>
    <xf numFmtId="0" fontId="59" fillId="0" borderId="11" xfId="0" applyFont="1" applyBorder="1"/>
    <xf numFmtId="0" fontId="31" fillId="10" borderId="12" xfId="0" applyFont="1" applyFill="1" applyBorder="1" applyAlignment="1">
      <alignment horizontal="left" vertical="center"/>
    </xf>
    <xf numFmtId="0" fontId="31" fillId="10" borderId="0" xfId="0" applyFont="1" applyFill="1" applyAlignment="1">
      <alignment horizontal="center" vertical="center"/>
    </xf>
    <xf numFmtId="0" fontId="31" fillId="10" borderId="13" xfId="0" applyFont="1" applyFill="1" applyBorder="1" applyAlignment="1">
      <alignment horizontal="center" vertical="center"/>
    </xf>
    <xf numFmtId="0" fontId="26" fillId="0" borderId="12" xfId="0" applyFont="1" applyBorder="1" applyAlignment="1">
      <alignment horizontal="left" vertical="center"/>
    </xf>
    <xf numFmtId="0" fontId="59" fillId="0" borderId="12" xfId="0" applyFont="1" applyBorder="1"/>
    <xf numFmtId="38" fontId="59" fillId="0" borderId="0" xfId="4" applyFont="1" applyAlignment="1">
      <alignment horizontal="center" vertical="center"/>
    </xf>
    <xf numFmtId="38" fontId="59" fillId="0" borderId="13" xfId="4" applyFont="1" applyBorder="1" applyAlignment="1">
      <alignment horizontal="center" vertical="center"/>
    </xf>
    <xf numFmtId="0" fontId="63" fillId="0" borderId="12" xfId="0" applyFont="1" applyBorder="1"/>
    <xf numFmtId="0" fontId="59" fillId="0" borderId="0" xfId="0" applyFont="1" applyAlignment="1">
      <alignment horizontal="center"/>
    </xf>
    <xf numFmtId="0" fontId="59" fillId="0" borderId="13" xfId="0" applyFont="1" applyBorder="1" applyAlignment="1">
      <alignment horizontal="center"/>
    </xf>
    <xf numFmtId="166" fontId="26" fillId="0" borderId="12" xfId="4" applyNumberFormat="1" applyFont="1" applyBorder="1" applyAlignment="1"/>
    <xf numFmtId="166" fontId="64" fillId="0" borderId="0" xfId="4" applyNumberFormat="1" applyFont="1" applyAlignment="1">
      <alignment horizontal="center"/>
    </xf>
    <xf numFmtId="166" fontId="64" fillId="0" borderId="13" xfId="4" applyNumberFormat="1" applyFont="1" applyBorder="1" applyAlignment="1">
      <alignment horizontal="center"/>
    </xf>
    <xf numFmtId="166" fontId="59" fillId="7" borderId="0" xfId="4" applyNumberFormat="1" applyFont="1" applyFill="1" applyAlignment="1">
      <alignment horizontal="center"/>
    </xf>
    <xf numFmtId="166" fontId="59" fillId="7" borderId="13" xfId="4" applyNumberFormat="1" applyFont="1" applyFill="1" applyBorder="1" applyAlignment="1">
      <alignment horizontal="center"/>
    </xf>
    <xf numFmtId="166" fontId="59" fillId="0" borderId="0" xfId="4" applyNumberFormat="1" applyFont="1" applyAlignment="1">
      <alignment horizontal="center"/>
    </xf>
    <xf numFmtId="166" fontId="59" fillId="0" borderId="13" xfId="4" applyNumberFormat="1" applyFont="1" applyBorder="1" applyAlignment="1">
      <alignment horizontal="center"/>
    </xf>
    <xf numFmtId="166" fontId="59" fillId="0" borderId="0" xfId="4" applyNumberFormat="1" applyFont="1" applyAlignment="1">
      <alignment horizontal="center" vertical="center"/>
    </xf>
    <xf numFmtId="166" fontId="59" fillId="0" borderId="13" xfId="4" applyNumberFormat="1" applyFont="1" applyBorder="1" applyAlignment="1">
      <alignment horizontal="center" vertical="center"/>
    </xf>
    <xf numFmtId="166" fontId="26" fillId="0" borderId="0" xfId="4" applyNumberFormat="1" applyFont="1" applyAlignment="1">
      <alignment horizontal="center" vertical="center" wrapText="1"/>
    </xf>
    <xf numFmtId="166" fontId="26" fillId="0" borderId="13" xfId="4" applyNumberFormat="1" applyFont="1" applyBorder="1" applyAlignment="1">
      <alignment horizontal="center" vertical="center" wrapText="1"/>
    </xf>
    <xf numFmtId="0" fontId="65" fillId="0" borderId="12" xfId="0" applyFont="1" applyBorder="1"/>
    <xf numFmtId="38" fontId="59" fillId="0" borderId="0" xfId="4" applyFont="1" applyAlignment="1">
      <alignment horizontal="center"/>
    </xf>
    <xf numFmtId="38" fontId="59" fillId="0" borderId="13" xfId="4" applyFont="1" applyBorder="1" applyAlignment="1">
      <alignment horizontal="center"/>
    </xf>
    <xf numFmtId="38" fontId="59" fillId="7" borderId="0" xfId="4" applyFont="1" applyFill="1" applyAlignment="1">
      <alignment horizontal="center"/>
    </xf>
    <xf numFmtId="38" fontId="59" fillId="7" borderId="13" xfId="4" applyFont="1" applyFill="1" applyBorder="1" applyAlignment="1">
      <alignment horizontal="center"/>
    </xf>
    <xf numFmtId="0" fontId="59" fillId="0" borderId="16" xfId="0" applyFont="1" applyBorder="1"/>
    <xf numFmtId="38" fontId="59" fillId="0" borderId="14" xfId="4" applyFont="1" applyBorder="1" applyAlignment="1">
      <alignment horizontal="center" vertical="center"/>
    </xf>
    <xf numFmtId="38" fontId="59" fillId="0" borderId="15" xfId="4" applyFont="1" applyBorder="1" applyAlignment="1">
      <alignment horizontal="center" vertical="center"/>
    </xf>
    <xf numFmtId="0" fontId="59" fillId="0" borderId="0" xfId="0" applyFont="1" applyAlignment="1">
      <alignment horizontal="right"/>
    </xf>
    <xf numFmtId="0" fontId="66" fillId="13" borderId="0" xfId="0" applyFont="1" applyFill="1" applyAlignment="1" applyProtection="1">
      <alignment vertical="center"/>
      <protection locked="0"/>
    </xf>
    <xf numFmtId="0" fontId="57" fillId="13" borderId="0" xfId="0" applyFont="1" applyFill="1" applyAlignment="1">
      <alignment vertical="center"/>
    </xf>
    <xf numFmtId="0" fontId="57" fillId="13" borderId="0" xfId="0" applyFont="1" applyFill="1" applyAlignment="1" applyProtection="1">
      <alignment vertical="center"/>
      <protection locked="0"/>
    </xf>
    <xf numFmtId="0" fontId="57" fillId="13" borderId="0" xfId="0" applyFont="1" applyFill="1" applyAlignment="1" applyProtection="1">
      <alignment horizontal="left" vertical="center"/>
      <protection locked="0"/>
    </xf>
    <xf numFmtId="0" fontId="66" fillId="13" borderId="0" xfId="0" applyFont="1" applyFill="1"/>
    <xf numFmtId="0" fontId="31" fillId="14" borderId="21" xfId="0" applyFont="1" applyFill="1" applyBorder="1" applyAlignment="1" applyProtection="1">
      <alignment horizontal="left" vertical="center" wrapText="1"/>
      <protection locked="0"/>
    </xf>
    <xf numFmtId="0" fontId="55" fillId="14" borderId="21" xfId="0" applyFont="1" applyFill="1" applyBorder="1" applyAlignment="1">
      <alignment horizontal="left" vertical="center" wrapText="1"/>
    </xf>
    <xf numFmtId="0" fontId="55" fillId="14" borderId="21" xfId="0" applyFont="1" applyFill="1" applyBorder="1" applyAlignment="1" applyProtection="1">
      <alignment horizontal="left" vertical="center" wrapText="1"/>
      <protection locked="0"/>
    </xf>
    <xf numFmtId="0" fontId="55" fillId="14" borderId="21" xfId="0" applyFont="1" applyFill="1" applyBorder="1" applyAlignment="1" applyProtection="1">
      <alignment horizontal="left" vertical="center"/>
      <protection locked="0"/>
    </xf>
    <xf numFmtId="0" fontId="31" fillId="14" borderId="21" xfId="0" applyFont="1" applyFill="1" applyBorder="1" applyAlignment="1">
      <alignment horizontal="left" vertical="center" wrapText="1"/>
    </xf>
    <xf numFmtId="0" fontId="55" fillId="14" borderId="21" xfId="0" applyFont="1" applyFill="1" applyBorder="1" applyAlignment="1">
      <alignment horizontal="left" vertical="center"/>
    </xf>
    <xf numFmtId="0" fontId="59" fillId="0" borderId="22" xfId="0" applyFont="1" applyBorder="1" applyAlignment="1">
      <alignment horizontal="right"/>
    </xf>
    <xf numFmtId="0" fontId="59" fillId="0" borderId="22" xfId="0" applyFont="1" applyBorder="1" applyAlignment="1" applyProtection="1">
      <alignment vertical="center"/>
      <protection locked="0"/>
    </xf>
    <xf numFmtId="0" fontId="67" fillId="0" borderId="22" xfId="0" applyFont="1" applyBorder="1"/>
    <xf numFmtId="0" fontId="67" fillId="0" borderId="22" xfId="0" applyFont="1" applyBorder="1" applyAlignment="1" applyProtection="1">
      <alignment vertical="center"/>
      <protection locked="0"/>
    </xf>
    <xf numFmtId="0" fontId="67" fillId="0" borderId="22" xfId="0" applyFont="1" applyBorder="1" applyAlignment="1" applyProtection="1">
      <alignment horizontal="left"/>
      <protection locked="0"/>
    </xf>
    <xf numFmtId="0" fontId="67" fillId="0" borderId="22" xfId="0" applyFont="1" applyBorder="1" applyAlignment="1" applyProtection="1">
      <alignment horizontal="left" vertical="center"/>
      <protection locked="0"/>
    </xf>
    <xf numFmtId="2" fontId="63" fillId="0" borderId="0" xfId="0" applyNumberFormat="1" applyFont="1"/>
    <xf numFmtId="0" fontId="59" fillId="0" borderId="23" xfId="0" applyFont="1" applyBorder="1" applyAlignment="1">
      <alignment horizontal="right"/>
    </xf>
    <xf numFmtId="0" fontId="59" fillId="0" borderId="23" xfId="0" applyFont="1" applyBorder="1" applyAlignment="1" applyProtection="1">
      <alignment vertical="center"/>
      <protection locked="0"/>
    </xf>
    <xf numFmtId="0" fontId="67" fillId="0" borderId="23" xfId="0" applyFont="1" applyBorder="1"/>
    <xf numFmtId="0" fontId="67" fillId="0" borderId="23" xfId="0" applyFont="1" applyBorder="1" applyAlignment="1" applyProtection="1">
      <alignment vertical="center"/>
      <protection locked="0"/>
    </xf>
    <xf numFmtId="0" fontId="67" fillId="0" borderId="23" xfId="0" applyFont="1" applyBorder="1" applyAlignment="1" applyProtection="1">
      <alignment horizontal="left"/>
      <protection locked="0"/>
    </xf>
    <xf numFmtId="0" fontId="67" fillId="0" borderId="23" xfId="0" applyFont="1" applyBorder="1" applyAlignment="1" applyProtection="1">
      <alignment horizontal="left" vertical="center"/>
      <protection locked="0"/>
    </xf>
    <xf numFmtId="9" fontId="67" fillId="0" borderId="24" xfId="0" applyNumberFormat="1" applyFont="1" applyBorder="1" applyAlignment="1">
      <alignment vertical="center"/>
    </xf>
    <xf numFmtId="2" fontId="59" fillId="0" borderId="0" xfId="0" applyNumberFormat="1" applyFont="1" applyAlignment="1">
      <alignment vertical="center"/>
    </xf>
    <xf numFmtId="0" fontId="59" fillId="0" borderId="25" xfId="0" applyFont="1" applyBorder="1" applyAlignment="1">
      <alignment horizontal="right"/>
    </xf>
    <xf numFmtId="0" fontId="59" fillId="0" borderId="25" xfId="0" applyFont="1" applyBorder="1"/>
    <xf numFmtId="0" fontId="67" fillId="0" borderId="25" xfId="0" applyFont="1" applyBorder="1" applyAlignment="1">
      <alignment vertical="center"/>
    </xf>
    <xf numFmtId="0" fontId="67" fillId="0" borderId="25" xfId="0" applyFont="1" applyBorder="1" applyAlignment="1" applyProtection="1">
      <alignment vertical="center"/>
      <protection locked="0"/>
    </xf>
    <xf numFmtId="0" fontId="67" fillId="0" borderId="25" xfId="0" applyFont="1" applyBorder="1" applyAlignment="1" applyProtection="1">
      <alignment horizontal="left" vertical="center"/>
      <protection locked="0"/>
    </xf>
    <xf numFmtId="0" fontId="60" fillId="0" borderId="23" xfId="0" applyFont="1" applyBorder="1" applyAlignment="1" applyProtection="1">
      <alignment vertical="center"/>
      <protection locked="0"/>
    </xf>
    <xf numFmtId="0" fontId="60" fillId="0" borderId="23" xfId="0" applyFont="1" applyBorder="1" applyAlignment="1" applyProtection="1">
      <alignment horizontal="left" vertical="center"/>
      <protection locked="0"/>
    </xf>
    <xf numFmtId="2" fontId="59" fillId="0" borderId="0" xfId="0" applyNumberFormat="1" applyFont="1"/>
    <xf numFmtId="0" fontId="59" fillId="0" borderId="0" xfId="0" applyFont="1" applyAlignment="1" applyProtection="1">
      <alignment vertical="center"/>
      <protection locked="0"/>
    </xf>
    <xf numFmtId="0" fontId="60" fillId="0" borderId="0" xfId="0" applyFont="1" applyAlignment="1" applyProtection="1">
      <alignment vertical="center"/>
      <protection locked="0"/>
    </xf>
    <xf numFmtId="0" fontId="60" fillId="0" borderId="0" xfId="0" applyFont="1" applyAlignment="1" applyProtection="1">
      <alignment horizontal="left" vertical="center"/>
      <protection locked="0"/>
    </xf>
    <xf numFmtId="0" fontId="67" fillId="0" borderId="0" xfId="0" applyFont="1" applyAlignment="1" applyProtection="1">
      <alignment horizontal="left" vertical="center"/>
      <protection locked="0"/>
    </xf>
    <xf numFmtId="2" fontId="66" fillId="13" borderId="0" xfId="0" applyNumberFormat="1" applyFont="1" applyFill="1"/>
    <xf numFmtId="0" fontId="31" fillId="14" borderId="7" xfId="0" applyFont="1" applyFill="1" applyBorder="1" applyAlignment="1" applyProtection="1">
      <alignment horizontal="left" vertical="center" wrapText="1"/>
      <protection locked="0"/>
    </xf>
    <xf numFmtId="0" fontId="55" fillId="14" borderId="7" xfId="0" applyFont="1" applyFill="1" applyBorder="1" applyAlignment="1">
      <alignment horizontal="left" vertical="center" wrapText="1"/>
    </xf>
    <xf numFmtId="0" fontId="55" fillId="14" borderId="7" xfId="0" applyFont="1" applyFill="1" applyBorder="1" applyAlignment="1" applyProtection="1">
      <alignment horizontal="left" vertical="center" wrapText="1"/>
      <protection locked="0"/>
    </xf>
    <xf numFmtId="0" fontId="55" fillId="14" borderId="7" xfId="0" applyFont="1" applyFill="1" applyBorder="1" applyAlignment="1" applyProtection="1">
      <alignment horizontal="left" vertical="center"/>
      <protection locked="0"/>
    </xf>
    <xf numFmtId="0" fontId="31" fillId="14" borderId="7" xfId="0" applyFont="1" applyFill="1" applyBorder="1" applyAlignment="1">
      <alignment horizontal="left" vertical="center" wrapText="1"/>
    </xf>
    <xf numFmtId="0" fontId="55" fillId="14" borderId="7" xfId="0" applyFont="1" applyFill="1" applyBorder="1" applyAlignment="1">
      <alignment horizontal="left" vertical="center"/>
    </xf>
    <xf numFmtId="0" fontId="31" fillId="14" borderId="22" xfId="0" applyFont="1" applyFill="1" applyBorder="1" applyAlignment="1">
      <alignment horizontal="right"/>
    </xf>
    <xf numFmtId="0" fontId="67" fillId="0" borderId="26" xfId="0" applyFont="1" applyBorder="1" applyAlignment="1">
      <alignment vertical="center"/>
    </xf>
    <xf numFmtId="0" fontId="68" fillId="0" borderId="22" xfId="0" applyFont="1" applyBorder="1" applyAlignment="1" applyProtection="1">
      <alignment horizontal="left" vertical="center"/>
      <protection locked="0"/>
    </xf>
    <xf numFmtId="2" fontId="59" fillId="0" borderId="22" xfId="0" applyNumberFormat="1" applyFont="1" applyBorder="1" applyAlignment="1">
      <alignment vertical="center"/>
    </xf>
    <xf numFmtId="0" fontId="63" fillId="0" borderId="23" xfId="0" applyFont="1" applyBorder="1" applyAlignment="1">
      <alignment horizontal="right"/>
    </xf>
    <xf numFmtId="0" fontId="67" fillId="0" borderId="23" xfId="0" applyFont="1" applyBorder="1" applyAlignment="1">
      <alignment vertical="center"/>
    </xf>
    <xf numFmtId="2" fontId="59" fillId="0" borderId="23" xfId="0" applyNumberFormat="1" applyFont="1" applyBorder="1" applyAlignment="1">
      <alignment vertical="center"/>
    </xf>
    <xf numFmtId="0" fontId="67" fillId="0" borderId="24" xfId="0" applyFont="1" applyBorder="1" applyAlignment="1">
      <alignment vertical="center"/>
    </xf>
    <xf numFmtId="0" fontId="31" fillId="14" borderId="23" xfId="0" applyFont="1" applyFill="1" applyBorder="1" applyAlignment="1">
      <alignment horizontal="right"/>
    </xf>
    <xf numFmtId="0" fontId="68" fillId="0" borderId="23" xfId="0" applyFont="1" applyBorder="1" applyAlignment="1" applyProtection="1">
      <alignment horizontal="left" vertical="center"/>
      <protection locked="0"/>
    </xf>
    <xf numFmtId="0" fontId="63" fillId="0" borderId="25" xfId="0" applyFont="1" applyBorder="1" applyAlignment="1">
      <alignment horizontal="right"/>
    </xf>
    <xf numFmtId="0" fontId="59" fillId="0" borderId="25" xfId="0" applyFont="1" applyBorder="1" applyAlignment="1" applyProtection="1">
      <alignment vertical="center"/>
      <protection locked="0"/>
    </xf>
    <xf numFmtId="2" fontId="59" fillId="0" borderId="25" xfId="0" applyNumberFormat="1" applyFont="1" applyBorder="1" applyAlignment="1">
      <alignment vertical="center"/>
    </xf>
    <xf numFmtId="0" fontId="67" fillId="0" borderId="0" xfId="0" applyFont="1"/>
    <xf numFmtId="0" fontId="67" fillId="0" borderId="0" xfId="0" applyFont="1" applyAlignment="1">
      <alignment horizontal="left"/>
    </xf>
    <xf numFmtId="0" fontId="57" fillId="13" borderId="0" xfId="0" applyFont="1" applyFill="1"/>
    <xf numFmtId="0" fontId="57" fillId="13" borderId="0" xfId="0" applyFont="1" applyFill="1" applyAlignment="1">
      <alignment horizontal="left"/>
    </xf>
    <xf numFmtId="0" fontId="66" fillId="13" borderId="6" xfId="0" applyFont="1" applyFill="1" applyBorder="1" applyAlignment="1" applyProtection="1">
      <alignment horizontal="left" vertical="center" wrapText="1"/>
      <protection locked="0"/>
    </xf>
    <xf numFmtId="0" fontId="57" fillId="13" borderId="6" xfId="0" applyFont="1" applyFill="1" applyBorder="1" applyAlignment="1">
      <alignment horizontal="left" vertical="center" wrapText="1"/>
    </xf>
    <xf numFmtId="0" fontId="57" fillId="13" borderId="6" xfId="0" applyFont="1" applyFill="1" applyBorder="1" applyAlignment="1" applyProtection="1">
      <alignment horizontal="left" vertical="center" wrapText="1"/>
      <protection locked="0"/>
    </xf>
    <xf numFmtId="0" fontId="57" fillId="13" borderId="6" xfId="0" applyFont="1" applyFill="1" applyBorder="1" applyAlignment="1" applyProtection="1">
      <alignment horizontal="left" vertical="center"/>
      <protection locked="0"/>
    </xf>
    <xf numFmtId="0" fontId="66" fillId="13" borderId="6" xfId="0" applyFont="1" applyFill="1" applyBorder="1" applyAlignment="1">
      <alignment horizontal="left" vertical="center" wrapText="1"/>
    </xf>
    <xf numFmtId="0" fontId="57" fillId="13" borderId="6" xfId="0" applyFont="1" applyFill="1" applyBorder="1" applyAlignment="1">
      <alignment horizontal="left" vertical="center"/>
    </xf>
    <xf numFmtId="0" fontId="63" fillId="0" borderId="0" xfId="0" applyFont="1"/>
    <xf numFmtId="0" fontId="67" fillId="0" borderId="27" xfId="0" applyFont="1" applyBorder="1" applyAlignment="1">
      <alignment vertical="center"/>
    </xf>
    <xf numFmtId="1" fontId="67" fillId="0" borderId="0" xfId="0" applyNumberFormat="1" applyFont="1" applyAlignment="1">
      <alignment horizontal="right"/>
    </xf>
    <xf numFmtId="0" fontId="63" fillId="0" borderId="22" xfId="0" applyFont="1" applyBorder="1"/>
    <xf numFmtId="0" fontId="67" fillId="0" borderId="28" xfId="0" applyFont="1" applyBorder="1" applyAlignment="1">
      <alignment vertical="center"/>
    </xf>
    <xf numFmtId="0" fontId="67" fillId="0" borderId="22" xfId="0" applyFont="1" applyBorder="1" applyAlignment="1">
      <alignment horizontal="left"/>
    </xf>
    <xf numFmtId="1" fontId="67" fillId="0" borderId="22" xfId="0" applyNumberFormat="1" applyFont="1" applyBorder="1" applyAlignment="1">
      <alignment horizontal="right"/>
    </xf>
    <xf numFmtId="0" fontId="63" fillId="0" borderId="23" xfId="0" applyFont="1" applyBorder="1"/>
    <xf numFmtId="0" fontId="67" fillId="0" borderId="23" xfId="0" applyFont="1" applyBorder="1" applyAlignment="1">
      <alignment horizontal="left"/>
    </xf>
    <xf numFmtId="1" fontId="67" fillId="0" borderId="23" xfId="0" applyNumberFormat="1" applyFont="1" applyBorder="1" applyAlignment="1">
      <alignment horizontal="right"/>
    </xf>
    <xf numFmtId="0" fontId="66" fillId="13" borderId="25" xfId="0" applyFont="1" applyFill="1" applyBorder="1"/>
    <xf numFmtId="0" fontId="57" fillId="13" borderId="25" xfId="0" applyFont="1" applyFill="1" applyBorder="1"/>
    <xf numFmtId="0" fontId="57" fillId="13" borderId="25" xfId="0" applyFont="1" applyFill="1" applyBorder="1" applyAlignment="1">
      <alignment horizontal="left"/>
    </xf>
    <xf numFmtId="1" fontId="57" fillId="13" borderId="25" xfId="0" applyNumberFormat="1" applyFont="1" applyFill="1" applyBorder="1" applyAlignment="1">
      <alignment horizontal="right"/>
    </xf>
    <xf numFmtId="0" fontId="69" fillId="13" borderId="23" xfId="0" applyFont="1" applyFill="1" applyBorder="1"/>
    <xf numFmtId="0" fontId="69" fillId="13" borderId="23" xfId="0" applyFont="1" applyFill="1" applyBorder="1" applyAlignment="1">
      <alignment horizontal="left"/>
    </xf>
    <xf numFmtId="1" fontId="69" fillId="13" borderId="23" xfId="0" applyNumberFormat="1" applyFont="1" applyFill="1" applyBorder="1" applyAlignment="1">
      <alignment horizontal="right"/>
    </xf>
    <xf numFmtId="0" fontId="70" fillId="0" borderId="0" xfId="0" applyFont="1"/>
    <xf numFmtId="0" fontId="63" fillId="0" borderId="23" xfId="0" applyFont="1" applyBorder="1" applyAlignment="1" applyProtection="1">
      <alignment horizontal="right" vertical="center"/>
      <protection locked="0"/>
    </xf>
    <xf numFmtId="0" fontId="63" fillId="0" borderId="23" xfId="0" applyFont="1" applyBorder="1" applyAlignment="1" applyProtection="1">
      <alignment vertical="center"/>
      <protection locked="0"/>
    </xf>
    <xf numFmtId="0" fontId="67" fillId="0" borderId="24" xfId="0" applyFont="1" applyBorder="1"/>
    <xf numFmtId="0" fontId="69" fillId="0" borderId="23" xfId="0" applyFont="1" applyBorder="1" applyAlignment="1" applyProtection="1">
      <alignment vertical="center"/>
      <protection locked="0"/>
    </xf>
    <xf numFmtId="0" fontId="69" fillId="0" borderId="23" xfId="0" applyFont="1" applyBorder="1" applyAlignment="1" applyProtection="1">
      <alignment horizontal="left" vertical="center"/>
      <protection locked="0"/>
    </xf>
    <xf numFmtId="1" fontId="63" fillId="0" borderId="23" xfId="0" applyNumberFormat="1" applyFont="1" applyBorder="1" applyAlignment="1">
      <alignment vertical="center"/>
    </xf>
    <xf numFmtId="0" fontId="63" fillId="0" borderId="29" xfId="0" applyFont="1" applyBorder="1" applyAlignment="1" applyProtection="1">
      <alignment vertical="center"/>
      <protection locked="0"/>
    </xf>
    <xf numFmtId="0" fontId="69" fillId="0" borderId="29" xfId="0" applyFont="1" applyBorder="1" applyAlignment="1" applyProtection="1">
      <alignment vertical="center"/>
      <protection locked="0"/>
    </xf>
    <xf numFmtId="0" fontId="69" fillId="0" borderId="29" xfId="0" applyFont="1" applyBorder="1" applyAlignment="1" applyProtection="1">
      <alignment horizontal="left" vertical="center"/>
      <protection locked="0"/>
    </xf>
    <xf numFmtId="1" fontId="63" fillId="0" borderId="29" xfId="0" applyNumberFormat="1" applyFont="1" applyBorder="1" applyAlignment="1">
      <alignment vertical="center"/>
    </xf>
    <xf numFmtId="0" fontId="67" fillId="0" borderId="0" xfId="0" applyFont="1" applyAlignment="1" applyProtection="1">
      <alignment vertical="center"/>
      <protection locked="0"/>
    </xf>
    <xf numFmtId="1" fontId="63" fillId="0" borderId="0" xfId="0" applyNumberFormat="1" applyFont="1" applyAlignment="1">
      <alignment vertical="center"/>
    </xf>
    <xf numFmtId="0" fontId="67" fillId="0" borderId="24" xfId="0" applyFont="1" applyBorder="1" applyAlignment="1" applyProtection="1">
      <alignment vertical="center"/>
      <protection locked="0"/>
    </xf>
    <xf numFmtId="164" fontId="59" fillId="0" borderId="23" xfId="0" applyNumberFormat="1" applyFont="1" applyBorder="1" applyAlignment="1">
      <alignment vertical="center"/>
    </xf>
    <xf numFmtId="0" fontId="66" fillId="0" borderId="23" xfId="0" applyFont="1" applyBorder="1" applyAlignment="1">
      <alignment horizontal="right"/>
    </xf>
    <xf numFmtId="2" fontId="59" fillId="0" borderId="0" xfId="0" applyNumberFormat="1" applyFont="1" applyAlignment="1" applyProtection="1">
      <alignment vertical="center"/>
      <protection locked="0"/>
    </xf>
    <xf numFmtId="0" fontId="63" fillId="0" borderId="22" xfId="0" applyFont="1" applyBorder="1" applyAlignment="1" applyProtection="1">
      <alignment horizontal="right" vertical="center"/>
      <protection locked="0"/>
    </xf>
    <xf numFmtId="0" fontId="31" fillId="0" borderId="23" xfId="0" applyFont="1" applyBorder="1" applyAlignment="1">
      <alignment horizontal="right"/>
    </xf>
    <xf numFmtId="1" fontId="63" fillId="0" borderId="23" xfId="0" applyNumberFormat="1" applyFont="1" applyBorder="1"/>
    <xf numFmtId="0" fontId="69" fillId="0" borderId="29" xfId="0" applyFont="1" applyBorder="1"/>
    <xf numFmtId="1" fontId="63" fillId="0" borderId="29" xfId="0" applyNumberFormat="1" applyFont="1" applyBorder="1"/>
    <xf numFmtId="0" fontId="13" fillId="7" borderId="30" xfId="0" applyFont="1" applyFill="1" applyBorder="1" applyAlignment="1" applyProtection="1">
      <alignment horizontal="left" vertical="center" wrapText="1"/>
      <protection locked="0"/>
    </xf>
    <xf numFmtId="0" fontId="8" fillId="0" borderId="0" xfId="0" applyFont="1" applyAlignment="1" applyProtection="1">
      <alignment vertical="top"/>
      <protection locked="0"/>
    </xf>
    <xf numFmtId="0" fontId="12" fillId="0" borderId="0" xfId="0" applyFont="1" applyAlignment="1" applyProtection="1">
      <alignment horizontal="left" vertical="top"/>
      <protection locked="0"/>
    </xf>
    <xf numFmtId="0" fontId="13" fillId="0" borderId="0" xfId="0" applyFont="1" applyAlignment="1">
      <alignment vertical="top" wrapText="1"/>
    </xf>
    <xf numFmtId="0" fontId="14" fillId="0" borderId="0" xfId="0" applyFont="1" applyAlignment="1" applyProtection="1">
      <alignment horizontal="left" vertical="top" wrapText="1"/>
      <protection locked="0"/>
    </xf>
    <xf numFmtId="0" fontId="15" fillId="0" borderId="22" xfId="0" applyFont="1" applyBorder="1" applyAlignment="1">
      <alignment horizontal="left" vertical="center"/>
    </xf>
    <xf numFmtId="0" fontId="11" fillId="0" borderId="22" xfId="0" applyFont="1" applyBorder="1" applyAlignment="1">
      <alignment horizontal="center" vertical="center" wrapText="1"/>
    </xf>
    <xf numFmtId="0" fontId="15" fillId="0" borderId="23" xfId="0" applyFont="1" applyBorder="1" applyAlignment="1">
      <alignment horizontal="left" vertical="center"/>
    </xf>
    <xf numFmtId="164" fontId="11" fillId="0" borderId="23" xfId="0" applyNumberFormat="1" applyFont="1" applyBorder="1" applyAlignment="1">
      <alignment horizontal="center" vertical="center" wrapText="1"/>
    </xf>
    <xf numFmtId="164" fontId="11" fillId="5" borderId="23" xfId="0" applyNumberFormat="1" applyFont="1" applyFill="1" applyBorder="1" applyAlignment="1">
      <alignment horizontal="center" vertical="center" wrapText="1"/>
    </xf>
    <xf numFmtId="0" fontId="11" fillId="0" borderId="22" xfId="0" applyFont="1" applyBorder="1" applyAlignment="1">
      <alignment horizontal="right" vertical="center"/>
    </xf>
    <xf numFmtId="0" fontId="11" fillId="0" borderId="23" xfId="0" applyFont="1" applyBorder="1" applyAlignment="1">
      <alignment horizontal="right" vertical="center"/>
    </xf>
    <xf numFmtId="2" fontId="8" fillId="0" borderId="0" xfId="0" applyNumberFormat="1" applyFont="1" applyAlignment="1" applyProtection="1">
      <alignment vertical="center"/>
      <protection locked="0"/>
    </xf>
    <xf numFmtId="2" fontId="8" fillId="7" borderId="8" xfId="0" applyNumberFormat="1" applyFont="1" applyFill="1" applyBorder="1" applyAlignment="1">
      <alignment vertical="center"/>
    </xf>
    <xf numFmtId="0" fontId="6" fillId="15" borderId="0" xfId="0" applyFont="1" applyFill="1"/>
    <xf numFmtId="0" fontId="71" fillId="16" borderId="0" xfId="0" applyFont="1" applyFill="1" applyAlignment="1" applyProtection="1">
      <alignment vertical="center"/>
      <protection locked="0"/>
    </xf>
    <xf numFmtId="0" fontId="72" fillId="16" borderId="0" xfId="0" applyFont="1" applyFill="1" applyAlignment="1" applyProtection="1">
      <alignment horizontal="left" vertical="center"/>
      <protection locked="0"/>
    </xf>
    <xf numFmtId="1" fontId="72" fillId="16" borderId="3" xfId="0" applyNumberFormat="1" applyFont="1" applyFill="1" applyBorder="1" applyAlignment="1">
      <alignment vertical="center"/>
    </xf>
    <xf numFmtId="1" fontId="72" fillId="16" borderId="4" xfId="0" applyNumberFormat="1" applyFont="1" applyFill="1" applyBorder="1" applyAlignment="1">
      <alignment vertical="center"/>
    </xf>
    <xf numFmtId="1" fontId="72" fillId="16" borderId="5" xfId="0" applyNumberFormat="1" applyFont="1" applyFill="1" applyBorder="1" applyAlignment="1">
      <alignment vertical="center"/>
    </xf>
    <xf numFmtId="0" fontId="71" fillId="16" borderId="0" xfId="0" applyFont="1" applyFill="1" applyAlignment="1" applyProtection="1">
      <alignment horizontal="left" vertical="center"/>
      <protection locked="0"/>
    </xf>
    <xf numFmtId="0" fontId="72" fillId="16" borderId="0" xfId="0" applyFont="1" applyFill="1" applyAlignment="1">
      <alignment vertical="center"/>
    </xf>
    <xf numFmtId="0" fontId="73" fillId="16" borderId="0" xfId="0" applyFont="1" applyFill="1" applyAlignment="1">
      <alignment horizontal="left" vertical="center"/>
    </xf>
    <xf numFmtId="0" fontId="74" fillId="0" borderId="0" xfId="0" applyFont="1"/>
    <xf numFmtId="0" fontId="47" fillId="0" borderId="0" xfId="0" applyFont="1" applyAlignment="1">
      <alignment horizontal="left" vertical="top" wrapText="1"/>
    </xf>
    <xf numFmtId="0" fontId="1" fillId="0" borderId="0" xfId="0" applyFont="1"/>
    <xf numFmtId="0" fontId="47" fillId="0" borderId="0" xfId="0" applyFont="1" applyAlignment="1">
      <alignment horizontal="left" vertical="top"/>
    </xf>
    <xf numFmtId="0" fontId="44" fillId="0" borderId="0" xfId="0" applyFont="1" applyAlignment="1">
      <alignment horizontal="left" vertical="center" indent="1"/>
    </xf>
    <xf numFmtId="0" fontId="1" fillId="0" borderId="0" xfId="0" applyFont="1"/>
    <xf numFmtId="0" fontId="40" fillId="10" borderId="0" xfId="0" applyFont="1" applyFill="1" applyAlignment="1">
      <alignment horizontal="left" vertical="center" wrapText="1"/>
    </xf>
    <xf numFmtId="0" fontId="41" fillId="10" borderId="0" xfId="0" applyFont="1" applyFill="1" applyAlignment="1">
      <alignment horizontal="left" vertical="center" wrapText="1"/>
    </xf>
    <xf numFmtId="0" fontId="42" fillId="12" borderId="0" xfId="0" applyFont="1" applyFill="1" applyAlignment="1">
      <alignment horizontal="left" vertical="center" wrapText="1"/>
    </xf>
    <xf numFmtId="0" fontId="51" fillId="0" borderId="20" xfId="0" applyFont="1" applyBorder="1" applyAlignment="1">
      <alignment horizontal="left" vertical="top"/>
    </xf>
    <xf numFmtId="0" fontId="51" fillId="0" borderId="0" xfId="0" applyFont="1" applyAlignment="1">
      <alignment horizontal="left" vertical="top"/>
    </xf>
    <xf numFmtId="0" fontId="17" fillId="12" borderId="0" xfId="6" applyFont="1" applyFill="1" applyAlignment="1">
      <alignment horizontal="left" vertical="center" wrapText="1"/>
    </xf>
    <xf numFmtId="0" fontId="17" fillId="0" borderId="0" xfId="6" applyFont="1" applyAlignment="1"/>
    <xf numFmtId="0" fontId="48" fillId="0" borderId="0" xfId="0" applyFont="1" applyAlignment="1">
      <alignment horizontal="left" vertical="center" wrapText="1"/>
    </xf>
    <xf numFmtId="0" fontId="45" fillId="10" borderId="0" xfId="0" applyFont="1" applyFill="1" applyAlignment="1">
      <alignment horizontal="left" vertical="center" wrapText="1"/>
    </xf>
    <xf numFmtId="0" fontId="46" fillId="10" borderId="0" xfId="0" applyFont="1" applyFill="1" applyAlignment="1">
      <alignment horizontal="left" vertical="center" wrapText="1"/>
    </xf>
    <xf numFmtId="0" fontId="1" fillId="0" borderId="0" xfId="0" applyFont="1" applyAlignment="1">
      <alignment horizontal="left"/>
    </xf>
    <xf numFmtId="0" fontId="18" fillId="0" borderId="0" xfId="0" applyFont="1" applyAlignment="1">
      <alignment horizontal="left" vertical="top" wrapText="1"/>
    </xf>
    <xf numFmtId="0" fontId="6" fillId="0" borderId="0" xfId="0" applyFont="1" applyAlignment="1">
      <alignment horizontal="left" vertical="top" wrapText="1"/>
    </xf>
    <xf numFmtId="0" fontId="35" fillId="11" borderId="0" xfId="0" applyFont="1" applyFill="1" applyAlignment="1">
      <alignment horizontal="left" vertical="center" wrapText="1"/>
    </xf>
    <xf numFmtId="0" fontId="47" fillId="0" borderId="0" xfId="0" applyFont="1" applyAlignment="1">
      <alignment horizontal="left" vertical="top" wrapText="1"/>
    </xf>
    <xf numFmtId="0" fontId="48" fillId="12" borderId="0" xfId="0" applyFont="1" applyFill="1" applyAlignment="1">
      <alignment horizontal="center" vertical="top" wrapText="1"/>
    </xf>
    <xf numFmtId="0" fontId="1" fillId="0" borderId="0" xfId="0" applyFont="1" applyAlignment="1">
      <alignment vertical="top"/>
    </xf>
    <xf numFmtId="0" fontId="35" fillId="10" borderId="0" xfId="0" applyFont="1" applyFill="1" applyAlignment="1">
      <alignment horizontal="center" vertical="top" wrapText="1"/>
    </xf>
    <xf numFmtId="0" fontId="30" fillId="0" borderId="0" xfId="0" applyFont="1" applyAlignment="1">
      <alignment horizontal="left" vertical="center" wrapText="1"/>
    </xf>
    <xf numFmtId="0" fontId="47" fillId="0" borderId="0" xfId="0" applyFont="1" applyAlignment="1">
      <alignment horizontal="left" vertical="center" wrapText="1"/>
    </xf>
    <xf numFmtId="0" fontId="1" fillId="0" borderId="0" xfId="0" applyFont="1" applyAlignment="1">
      <alignment vertical="center"/>
    </xf>
    <xf numFmtId="0" fontId="50" fillId="0" borderId="0" xfId="6" applyFont="1" applyAlignment="1">
      <alignment horizontal="left" vertical="top" wrapText="1"/>
    </xf>
    <xf numFmtId="0" fontId="50" fillId="0" borderId="0" xfId="6" applyFont="1" applyAlignment="1"/>
    <xf numFmtId="0" fontId="20" fillId="7" borderId="0" xfId="0" applyFont="1" applyFill="1" applyAlignment="1">
      <alignment horizontal="left" vertical="top" wrapText="1"/>
    </xf>
    <xf numFmtId="0" fontId="31" fillId="10" borderId="0" xfId="0" applyFont="1" applyFill="1" applyAlignment="1">
      <alignment horizontal="left" vertical="center"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20" fillId="6" borderId="0" xfId="0" applyFont="1" applyFill="1" applyAlignment="1">
      <alignment horizontal="left" vertical="top" wrapText="1"/>
    </xf>
    <xf numFmtId="0" fontId="34" fillId="6" borderId="0" xfId="0" applyFont="1" applyFill="1" applyAlignment="1">
      <alignment horizontal="left" vertical="top" wrapText="1"/>
    </xf>
    <xf numFmtId="0" fontId="39" fillId="12" borderId="2" xfId="0" applyFont="1" applyFill="1" applyBorder="1" applyAlignment="1" applyProtection="1">
      <alignment horizontal="center" vertical="center"/>
      <protection locked="0"/>
    </xf>
    <xf numFmtId="0" fontId="1" fillId="0" borderId="17" xfId="0" applyFont="1" applyBorder="1" applyProtection="1">
      <protection locked="0"/>
    </xf>
    <xf numFmtId="0" fontId="35" fillId="10" borderId="0" xfId="0" applyFont="1" applyFill="1" applyAlignment="1">
      <alignment horizontal="left" vertical="center" wrapText="1"/>
    </xf>
    <xf numFmtId="0" fontId="36" fillId="0" borderId="0" xfId="0" applyFont="1" applyAlignment="1">
      <alignment horizontal="left" vertical="center" wrapText="1"/>
    </xf>
    <xf numFmtId="0" fontId="21" fillId="10" borderId="0" xfId="0" applyFont="1" applyFill="1" applyAlignment="1">
      <alignment horizontal="center" vertical="center" wrapText="1"/>
    </xf>
    <xf numFmtId="0" fontId="21" fillId="8" borderId="0" xfId="0" applyFont="1" applyFill="1" applyAlignment="1">
      <alignment horizontal="center" vertical="center" wrapText="1"/>
    </xf>
    <xf numFmtId="0" fontId="21" fillId="11" borderId="0" xfId="0" applyFont="1" applyFill="1" applyAlignment="1">
      <alignment horizontal="center" vertical="center" wrapText="1"/>
    </xf>
    <xf numFmtId="0" fontId="15" fillId="0" borderId="0" xfId="0" applyFont="1" applyAlignment="1">
      <alignment horizontal="left" vertical="top" wrapText="1"/>
    </xf>
    <xf numFmtId="0" fontId="8" fillId="0" borderId="0" xfId="0" applyFont="1" applyAlignment="1">
      <alignment vertical="center"/>
    </xf>
    <xf numFmtId="0" fontId="11" fillId="0" borderId="23" xfId="0" applyFont="1" applyBorder="1" applyAlignment="1">
      <alignment horizontal="left" indent="1"/>
    </xf>
    <xf numFmtId="0" fontId="6" fillId="0" borderId="0" xfId="0" applyFont="1" applyAlignment="1">
      <alignment horizontal="left" vertical="center"/>
    </xf>
    <xf numFmtId="0" fontId="6" fillId="0" borderId="0" xfId="0" applyFont="1" applyAlignment="1">
      <alignment vertical="center"/>
    </xf>
    <xf numFmtId="0" fontId="15" fillId="0" borderId="23" xfId="0" applyFont="1" applyBorder="1" applyAlignment="1">
      <alignment horizontal="left" vertical="top" wrapText="1"/>
    </xf>
    <xf numFmtId="0" fontId="8" fillId="0" borderId="0" xfId="0" applyFont="1" applyAlignment="1">
      <alignment horizontal="left" vertical="center"/>
    </xf>
    <xf numFmtId="0" fontId="8" fillId="0" borderId="0" xfId="0" applyFont="1"/>
    <xf numFmtId="0" fontId="58" fillId="0" borderId="0" xfId="0" applyFont="1" applyAlignment="1">
      <alignment horizontal="left" vertical="center" wrapText="1"/>
    </xf>
    <xf numFmtId="0" fontId="15" fillId="0" borderId="0" xfId="0" applyFont="1" applyAlignment="1">
      <alignment horizontal="left" vertical="center"/>
    </xf>
    <xf numFmtId="0" fontId="13" fillId="0" borderId="0" xfId="0" applyFont="1" applyAlignment="1">
      <alignment vertical="center"/>
    </xf>
    <xf numFmtId="0" fontId="14" fillId="0" borderId="25" xfId="0" applyFont="1" applyBorder="1" applyAlignment="1" applyProtection="1">
      <alignment horizontal="center" vertical="top" wrapText="1"/>
      <protection locked="0"/>
    </xf>
    <xf numFmtId="0" fontId="6" fillId="0" borderId="25" xfId="0" applyFont="1" applyBorder="1" applyProtection="1">
      <protection locked="0"/>
    </xf>
    <xf numFmtId="0" fontId="15" fillId="0" borderId="7" xfId="0" applyFont="1" applyBorder="1" applyAlignment="1" applyProtection="1">
      <alignment horizontal="center" vertical="top" wrapText="1"/>
      <protection locked="0"/>
    </xf>
    <xf numFmtId="0" fontId="18" fillId="0" borderId="0" xfId="0" applyFont="1"/>
    <xf numFmtId="0" fontId="11" fillId="12" borderId="0" xfId="0" applyFont="1" applyFill="1"/>
    <xf numFmtId="0" fontId="19" fillId="0" borderId="0" xfId="0" applyFont="1" applyAlignment="1">
      <alignment horizontal="left" vertical="center" wrapText="1"/>
    </xf>
    <xf numFmtId="0" fontId="11" fillId="0" borderId="22" xfId="0" applyFont="1" applyBorder="1" applyAlignment="1">
      <alignment horizontal="left" indent="1"/>
    </xf>
    <xf numFmtId="0" fontId="62" fillId="3" borderId="0" xfId="0" applyFont="1" applyFill="1"/>
    <xf numFmtId="0" fontId="59" fillId="0" borderId="0" xfId="0" applyFont="1"/>
    <xf numFmtId="0" fontId="11" fillId="0" borderId="0" xfId="0" applyFont="1"/>
    <xf numFmtId="0" fontId="60" fillId="0" borderId="0" xfId="0" applyFont="1"/>
  </cellXfs>
  <cellStyles count="7">
    <cellStyle name="Comma [0]" xfId="4" builtinId="6"/>
    <cellStyle name="Hyperlink" xfId="6" builtinId="8"/>
    <cellStyle name="Hyperlink 2" xfId="1" xr:uid="{00000000-0005-0000-0000-000001000000}"/>
    <cellStyle name="Input 2" xfId="2" xr:uid="{00000000-0005-0000-0000-000002000000}"/>
    <cellStyle name="Normal" xfId="0" builtinId="0"/>
    <cellStyle name="Normal 2" xfId="5" xr:uid="{210E4D23-0BD2-4409-B92C-894EB0CA332A}"/>
    <cellStyle name="Percent 2" xfId="3" xr:uid="{00000000-0005-0000-0000-000003000000}"/>
  </cellStyles>
  <dxfs count="9">
    <dxf>
      <font>
        <b/>
        <i val="0"/>
        <color rgb="FF2C5436"/>
      </font>
      <fill>
        <patternFill>
          <fgColor rgb="FFB8DFC2"/>
        </patternFill>
      </fill>
    </dxf>
    <dxf>
      <font>
        <b/>
        <i val="0"/>
        <color rgb="FF2C5436"/>
      </font>
      <fill>
        <patternFill>
          <fgColor rgb="FFB8DFC2"/>
        </patternFill>
      </fill>
    </dxf>
    <dxf>
      <font>
        <b/>
        <i val="0"/>
        <color rgb="FF2C5436"/>
      </font>
      <fill>
        <patternFill>
          <fgColor rgb="FFB8DFC2"/>
        </patternFill>
      </fill>
    </dxf>
    <dxf>
      <font>
        <color rgb="FFB0B0B0"/>
      </font>
    </dxf>
    <dxf>
      <font>
        <color rgb="FFB0B0B0"/>
      </font>
    </dxf>
    <dxf>
      <font>
        <color rgb="FFB0B0B0"/>
      </font>
    </dxf>
    <dxf>
      <font>
        <color rgb="FFB0B0B0"/>
      </font>
    </dxf>
    <dxf>
      <font>
        <color rgb="FFB0B0B0"/>
      </font>
    </dxf>
    <dxf>
      <font>
        <color rgb="FFB0B0B0"/>
      </font>
    </dxf>
  </dxfs>
  <tableStyles count="0" defaultTableStyle="TableStyleMedium2" defaultPivotStyle="PivotStyleLight16"/>
  <colors>
    <indexedColors>
      <rgbColor rgb="FF000000"/>
      <rgbColor rgb="FFFFFFFF"/>
      <rgbColor rgb="FFC00000"/>
      <rgbColor rgb="FFD9D9D9"/>
      <rgbColor rgb="FF0000FF"/>
      <rgbColor rgb="FFFFFF00"/>
      <rgbColor rgb="FFFF00FF"/>
      <rgbColor rgb="FFBFD7D2"/>
      <rgbColor rgb="FF800000"/>
      <rgbColor rgb="FF008000"/>
      <rgbColor rgb="FF000080"/>
      <rgbColor rgb="FF7F7F7F"/>
      <rgbColor rgb="FF800080"/>
      <rgbColor rgb="FF3C5E86"/>
      <rgbColor rgb="FFBFBFBF"/>
      <rgbColor rgb="FF808080"/>
      <rgbColor rgb="FFA5A5A5"/>
      <rgbColor rgb="FFB15B5B"/>
      <rgbColor rgb="FFFCEEC8"/>
      <rgbColor rgb="FFDAE3F3"/>
      <rgbColor rgb="FF660066"/>
      <rgbColor rgb="FFC28080"/>
      <rgbColor rgb="FF0563C1"/>
      <rgbColor rgb="FFC0CFE2"/>
      <rgbColor rgb="FF000080"/>
      <rgbColor rgb="FFFF00FF"/>
      <rgbColor rgb="FFFFD966"/>
      <rgbColor rgb="FFD9E2F3"/>
      <rgbColor rgb="FF800080"/>
      <rgbColor rgb="FF800000"/>
      <rgbColor rgb="FF4C7870"/>
      <rgbColor rgb="FF0000FF"/>
      <rgbColor rgb="FFB8E0C2"/>
      <rgbColor rgb="FFF2F2F2"/>
      <rgbColor rgb="FFDCF0D6"/>
      <rgbColor rgb="FFFAE0DA"/>
      <rgbColor rgb="FFA3C5BF"/>
      <rgbColor rgb="FFA6A6A6"/>
      <rgbColor rgb="FFB3B3B3"/>
      <rgbColor rgb="FFFAC8C2"/>
      <rgbColor rgb="FF4472C4"/>
      <rgbColor rgb="FF5B9BD5"/>
      <rgbColor rgb="FF70AD47"/>
      <rgbColor rgb="FFFFC000"/>
      <rgbColor rgb="FFF7BE4B"/>
      <rgbColor rgb="FFED7D31"/>
      <rgbColor rgb="FF666666"/>
      <rgbColor rgb="FF999999"/>
      <rgbColor rgb="FF1F3864"/>
      <rgbColor rgb="FF5E948A"/>
      <rgbColor rgb="FF2F5496"/>
      <rgbColor rgb="FF404040"/>
      <rgbColor rgb="FF555555"/>
      <rgbColor rgb="FF595959"/>
      <rgbColor rgb="FF203864"/>
      <rgbColor rgb="FF3A3A3A"/>
      <rgbColor rgb="00003366"/>
      <rgbColor rgb="00339966"/>
      <rgbColor rgb="00003300"/>
      <rgbColor rgb="00333300"/>
      <rgbColor rgb="00993300"/>
      <rgbColor rgb="00993366"/>
      <rgbColor rgb="00333399"/>
      <rgbColor rgb="00333333"/>
    </indexedColors>
    <mruColors>
      <color rgb="FFFFD966"/>
      <color rgb="FFC28080"/>
      <color rgb="FFA3C5BF"/>
      <color rgb="FFD7E5E2"/>
      <color rgb="FF5E9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strike="noStrike" kern="1200" spc="0" baseline="0">
                <a:solidFill>
                  <a:schemeClr val="tx1">
                    <a:lumMod val="65000"/>
                    <a:lumOff val="35000"/>
                  </a:schemeClr>
                </a:solidFill>
                <a:latin typeface="+mn-lt"/>
                <a:ea typeface="+mn-ea"/>
                <a:cs typeface="+mn-cs"/>
              </a:defRPr>
            </a:pPr>
            <a:r>
              <a:rPr lang="en-US" altLang="ja-JP" b="1" baseline="0">
                <a:solidFill>
                  <a:schemeClr val="tx1">
                    <a:lumMod val="85000"/>
                    <a:lumOff val="15000"/>
                  </a:schemeClr>
                </a:solidFill>
                <a:latin typeface="Arial" panose="020B0604020202020204" pitchFamily="34" charset="0"/>
                <a:cs typeface="Arial" panose="020B0604020202020204" pitchFamily="34" charset="0"/>
              </a:rPr>
              <a:t>Enhanced Pricing</a:t>
            </a:r>
            <a:r>
              <a:rPr lang="en-US" altLang="ja-JP" baseline="0">
                <a:solidFill>
                  <a:schemeClr val="tx1">
                    <a:lumMod val="85000"/>
                    <a:lumOff val="15000"/>
                  </a:schemeClr>
                </a:solidFill>
                <a:latin typeface="Arial" panose="020B0604020202020204" pitchFamily="34" charset="0"/>
                <a:cs typeface="Arial" panose="020B0604020202020204" pitchFamily="34" charset="0"/>
              </a:rPr>
              <a:t> (</a:t>
            </a:r>
            <a:r>
              <a:rPr lang="en-US" altLang="ja-JP" b="1" baseline="0">
                <a:solidFill>
                  <a:srgbClr val="FF0000"/>
                </a:solidFill>
                <a:latin typeface="Arial" panose="020B0604020202020204" pitchFamily="34" charset="0"/>
                <a:cs typeface="Arial" panose="020B0604020202020204" pitchFamily="34" charset="0"/>
              </a:rPr>
              <a:t>BT</a:t>
            </a:r>
            <a:r>
              <a:rPr lang="en-US" altLang="ja-JP" baseline="0">
                <a:solidFill>
                  <a:schemeClr val="tx1">
                    <a:lumMod val="85000"/>
                    <a:lumOff val="15000"/>
                  </a:schemeClr>
                </a:solidFill>
                <a:latin typeface="Arial" panose="020B0604020202020204" pitchFamily="34" charset="0"/>
                <a:cs typeface="Arial" panose="020B0604020202020204" pitchFamily="34" charset="0"/>
              </a:rPr>
              <a:t> / </a:t>
            </a:r>
            <a:r>
              <a:rPr lang="en-US" altLang="ja-JP" b="1" baseline="0">
                <a:solidFill>
                  <a:schemeClr val="accent2"/>
                </a:solidFill>
                <a:latin typeface="Arial" panose="020B0604020202020204" pitchFamily="34" charset="0"/>
                <a:cs typeface="Arial" panose="020B0604020202020204" pitchFamily="34" charset="0"/>
              </a:rPr>
              <a:t>DCT</a:t>
            </a:r>
            <a:r>
              <a:rPr lang="en-US" altLang="ja-JP" baseline="0">
                <a:solidFill>
                  <a:schemeClr val="tx1">
                    <a:lumMod val="85000"/>
                    <a:lumOff val="15000"/>
                  </a:schemeClr>
                </a:solidFill>
                <a:latin typeface="Arial" panose="020B0604020202020204" pitchFamily="34" charset="0"/>
                <a:cs typeface="Arial" panose="020B0604020202020204" pitchFamily="34" charset="0"/>
              </a:rPr>
              <a:t>) </a:t>
            </a:r>
          </a:p>
          <a:p>
            <a:pPr>
              <a:defRPr lang="ja-JP" sz="1400" b="0" i="0" strike="noStrike" kern="1200" spc="0" baseline="0">
                <a:solidFill>
                  <a:schemeClr val="tx1">
                    <a:lumMod val="65000"/>
                    <a:lumOff val="35000"/>
                  </a:schemeClr>
                </a:solidFill>
                <a:latin typeface="+mn-lt"/>
                <a:ea typeface="+mn-ea"/>
                <a:cs typeface="+mn-cs"/>
              </a:defRPr>
            </a:pPr>
            <a:r>
              <a:rPr lang="en-US" altLang="ja-JP" baseline="0">
                <a:solidFill>
                  <a:schemeClr val="tx1">
                    <a:lumMod val="85000"/>
                    <a:lumOff val="15000"/>
                  </a:schemeClr>
                </a:solidFill>
                <a:latin typeface="Arial" panose="020B0604020202020204" pitchFamily="34" charset="0"/>
                <a:cs typeface="Arial" panose="020B0604020202020204" pitchFamily="34" charset="0"/>
              </a:rPr>
              <a:t>vs As-Is (dashed)</a:t>
            </a:r>
            <a:endParaRPr lang="ja-JP" altLang="en-US">
              <a:solidFill>
                <a:schemeClr val="tx1">
                  <a:lumMod val="85000"/>
                  <a:lumOff val="15000"/>
                </a:schemeClr>
              </a:solidFill>
              <a:latin typeface="Arial" panose="020B0604020202020204" pitchFamily="34" charset="0"/>
              <a:cs typeface="Arial" panose="020B0604020202020204" pitchFamily="34" charset="0"/>
            </a:endParaRPr>
          </a:p>
        </c:rich>
      </c:tx>
      <c:overlay val="0"/>
      <c:spPr>
        <a:noFill/>
        <a:ln>
          <a:noFill/>
          <a:prstDash val="solid"/>
        </a:ln>
      </c:spPr>
    </c:title>
    <c:autoTitleDeleted val="0"/>
    <c:plotArea>
      <c:layout/>
      <c:lineChart>
        <c:grouping val="standard"/>
        <c:varyColors val="0"/>
        <c:ser>
          <c:idx val="0"/>
          <c:order val="0"/>
          <c:tx>
            <c:strRef>
              <c:f>Proposals!$B$55</c:f>
              <c:strCache>
                <c:ptCount val="1"/>
                <c:pt idx="0">
                  <c:v>NZF as-is</c:v>
                </c:pt>
              </c:strCache>
            </c:strRef>
          </c:tx>
          <c:spPr>
            <a:ln w="28575" cap="rnd">
              <a:solidFill>
                <a:srgbClr val="FF0000"/>
              </a:solidFill>
              <a:prstDash val="sysDot"/>
              <a:round/>
            </a:ln>
          </c:spPr>
          <c:marker>
            <c:symbol val="circle"/>
            <c:size val="5"/>
            <c:spPr>
              <a:solidFill>
                <a:srgbClr val="FF0000"/>
              </a:solidFill>
              <a:ln w="9525">
                <a:solidFill>
                  <a:srgbClr val="FF0000"/>
                </a:solidFill>
                <a:prstDash val="sysDot"/>
              </a:ln>
            </c:spPr>
          </c:marker>
          <c:dLbls>
            <c:delete val="1"/>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Proposals!$C$55:$N$55</c:f>
              <c:numCache>
                <c:formatCode>#,##0.0;[Red]\-#,##0.0</c:formatCode>
                <c:ptCount val="12"/>
                <c:pt idx="0">
                  <c:v>87.701999999999998</c:v>
                </c:pt>
                <c:pt idx="1">
                  <c:v>85.835999999999999</c:v>
                </c:pt>
                <c:pt idx="2">
                  <c:v>81.730800000000002</c:v>
                </c:pt>
                <c:pt idx="3">
                  <c:v>77.625599999999991</c:v>
                </c:pt>
                <c:pt idx="4">
                  <c:v>73.520399999999995</c:v>
                </c:pt>
                <c:pt idx="5">
                  <c:v>69.415199999999999</c:v>
                </c:pt>
                <c:pt idx="6">
                  <c:v>65.309999999999988</c:v>
                </c:pt>
                <c:pt idx="7">
                  <c:v>58.778999999999996</c:v>
                </c:pt>
                <c:pt idx="8">
                  <c:v>52.248000000000005</c:v>
                </c:pt>
                <c:pt idx="9">
                  <c:v>45.716999999999999</c:v>
                </c:pt>
                <c:pt idx="10">
                  <c:v>39.186</c:v>
                </c:pt>
                <c:pt idx="11">
                  <c:v>32.654999999999994</c:v>
                </c:pt>
              </c:numCache>
            </c:numRef>
          </c:val>
          <c:smooth val="0"/>
          <c:extLst>
            <c:ext xmlns:c16="http://schemas.microsoft.com/office/drawing/2014/chart" uri="{C3380CC4-5D6E-409C-BE32-E72D297353CC}">
              <c16:uniqueId val="{00000000-4344-47F0-80D0-34E62B76CC6A}"/>
            </c:ext>
          </c:extLst>
        </c:ser>
        <c:ser>
          <c:idx val="1"/>
          <c:order val="1"/>
          <c:tx>
            <c:strRef>
              <c:f>Proposals!$B$57</c:f>
              <c:strCache>
                <c:ptCount val="1"/>
                <c:pt idx="0">
                  <c:v>NZF Enhanced Pricing</c:v>
                </c:pt>
              </c:strCache>
            </c:strRef>
          </c:tx>
          <c:spPr>
            <a:ln w="28575" cap="rnd">
              <a:solidFill>
                <a:srgbClr val="FF0000"/>
              </a:solidFill>
              <a:prstDash val="solid"/>
              <a:round/>
            </a:ln>
          </c:spPr>
          <c:marker>
            <c:symbol val="circle"/>
            <c:size val="5"/>
            <c:spPr>
              <a:solidFill>
                <a:srgbClr val="FF0000"/>
              </a:solidFill>
              <a:ln w="9525">
                <a:solidFill>
                  <a:srgbClr val="FF0000"/>
                </a:solidFill>
                <a:prstDash val="solid"/>
              </a:ln>
            </c:spPr>
          </c:marker>
          <c:dLbls>
            <c:spPr>
              <a:noFill/>
              <a:ln>
                <a:noFill/>
                <a:prstDash val="solid"/>
              </a:ln>
            </c:spPr>
            <c:txPr>
              <a:bodyPr rot="0" spcFirstLastPara="1" vertOverflow="ellipsis" vert="horz" wrap="square" lIns="38100" tIns="19050" rIns="38100" bIns="19050" anchor="ctr" anchorCtr="1">
                <a:spAutoFit/>
              </a:bodyPr>
              <a:lstStyle/>
              <a:p>
                <a:pPr>
                  <a:defRPr lang="ja-JP" sz="900" b="0" i="0"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Proposals!$C$57:$N$57</c:f>
              <c:numCache>
                <c:formatCode>#,##0.0;[Red]\-#,##0.0</c:formatCode>
                <c:ptCount val="12"/>
                <c:pt idx="0">
                  <c:v>87.701999999999998</c:v>
                </c:pt>
                <c:pt idx="1">
                  <c:v>85.835999999999999</c:v>
                </c:pt>
                <c:pt idx="2">
                  <c:v>81.730800000000002</c:v>
                </c:pt>
                <c:pt idx="3">
                  <c:v>77.625599999999991</c:v>
                </c:pt>
                <c:pt idx="4">
                  <c:v>73.520399999999995</c:v>
                </c:pt>
                <c:pt idx="5">
                  <c:v>69.415199999999999</c:v>
                </c:pt>
                <c:pt idx="6">
                  <c:v>65.309999999999988</c:v>
                </c:pt>
                <c:pt idx="7">
                  <c:v>58.778999999999996</c:v>
                </c:pt>
                <c:pt idx="8">
                  <c:v>52.248000000000005</c:v>
                </c:pt>
                <c:pt idx="9">
                  <c:v>45.716999999999999</c:v>
                </c:pt>
                <c:pt idx="10">
                  <c:v>39.186</c:v>
                </c:pt>
                <c:pt idx="11">
                  <c:v>32.654999999999994</c:v>
                </c:pt>
              </c:numCache>
            </c:numRef>
          </c:val>
          <c:smooth val="0"/>
          <c:extLst>
            <c:ext xmlns:c16="http://schemas.microsoft.com/office/drawing/2014/chart" uri="{C3380CC4-5D6E-409C-BE32-E72D297353CC}">
              <c16:uniqueId val="{00000001-4344-47F0-80D0-34E62B76CC6A}"/>
            </c:ext>
          </c:extLst>
        </c:ser>
        <c:ser>
          <c:idx val="2"/>
          <c:order val="2"/>
          <c:tx>
            <c:strRef>
              <c:f>Proposals!$B$63</c:f>
              <c:strCache>
                <c:ptCount val="1"/>
                <c:pt idx="0">
                  <c:v>NZF as-is</c:v>
                </c:pt>
              </c:strCache>
            </c:strRef>
          </c:tx>
          <c:spPr>
            <a:ln w="28575" cap="rnd">
              <a:solidFill>
                <a:schemeClr val="accent2">
                  <a:lumMod val="40000"/>
                  <a:lumOff val="60000"/>
                </a:schemeClr>
              </a:solidFill>
              <a:prstDash val="sysDot"/>
              <a:round/>
            </a:ln>
          </c:spPr>
          <c:marker>
            <c:symbol val="circle"/>
            <c:size val="5"/>
            <c:spPr>
              <a:solidFill>
                <a:schemeClr val="accent2">
                  <a:lumMod val="40000"/>
                  <a:lumOff val="60000"/>
                </a:schemeClr>
              </a:solidFill>
              <a:ln w="9525">
                <a:solidFill>
                  <a:schemeClr val="accent2">
                    <a:lumMod val="40000"/>
                    <a:lumOff val="60000"/>
                  </a:schemeClr>
                </a:solidFill>
                <a:prstDash val="sysDot"/>
              </a:ln>
            </c:spPr>
          </c:marker>
          <c:dLbls>
            <c:delete val="1"/>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Proposals!$C$63:$N$63</c:f>
              <c:numCache>
                <c:formatCode>#,##0.0;[Red]\-#,##0.0</c:formatCode>
                <c:ptCount val="12"/>
                <c:pt idx="0">
                  <c:v>75.573000000000008</c:v>
                </c:pt>
                <c:pt idx="1">
                  <c:v>73.707000000000008</c:v>
                </c:pt>
                <c:pt idx="2">
                  <c:v>69.601799999999997</c:v>
                </c:pt>
                <c:pt idx="3">
                  <c:v>65.496600000000001</c:v>
                </c:pt>
                <c:pt idx="4">
                  <c:v>61.39139999999999</c:v>
                </c:pt>
                <c:pt idx="5">
                  <c:v>57.286199999999994</c:v>
                </c:pt>
                <c:pt idx="6">
                  <c:v>53.181000000000004</c:v>
                </c:pt>
                <c:pt idx="7">
                  <c:v>46.65</c:v>
                </c:pt>
                <c:pt idx="8">
                  <c:v>40.119000000000007</c:v>
                </c:pt>
                <c:pt idx="9">
                  <c:v>33.588000000000001</c:v>
                </c:pt>
                <c:pt idx="10">
                  <c:v>27.057000000000002</c:v>
                </c:pt>
                <c:pt idx="11">
                  <c:v>20.525999999999996</c:v>
                </c:pt>
              </c:numCache>
            </c:numRef>
          </c:val>
          <c:smooth val="0"/>
          <c:extLst>
            <c:ext xmlns:c16="http://schemas.microsoft.com/office/drawing/2014/chart" uri="{C3380CC4-5D6E-409C-BE32-E72D297353CC}">
              <c16:uniqueId val="{00000002-4344-47F0-80D0-34E62B76CC6A}"/>
            </c:ext>
          </c:extLst>
        </c:ser>
        <c:ser>
          <c:idx val="3"/>
          <c:order val="3"/>
          <c:tx>
            <c:strRef>
              <c:f>Proposals!$B$65</c:f>
              <c:strCache>
                <c:ptCount val="1"/>
                <c:pt idx="0">
                  <c:v>NZF Enhanced Pricing</c:v>
                </c:pt>
              </c:strCache>
            </c:strRef>
          </c:tx>
          <c:spPr>
            <a:ln w="28575" cap="rnd">
              <a:solidFill>
                <a:schemeClr val="accent2"/>
              </a:solidFill>
              <a:prstDash val="solid"/>
              <a:round/>
            </a:ln>
          </c:spPr>
          <c:marker>
            <c:symbol val="circle"/>
            <c:size val="5"/>
            <c:spPr>
              <a:solidFill>
                <a:schemeClr val="accent2"/>
              </a:solidFill>
              <a:ln w="9525">
                <a:solidFill>
                  <a:schemeClr val="accent2"/>
                </a:solidFill>
                <a:prstDash val="solid"/>
              </a:ln>
            </c:spPr>
          </c:marker>
          <c:dLbls>
            <c:spPr>
              <a:noFill/>
              <a:ln>
                <a:noFill/>
                <a:prstDash val="solid"/>
              </a:ln>
            </c:spPr>
            <c:txPr>
              <a:bodyPr rot="0" spcFirstLastPara="1" vertOverflow="ellipsis" vert="horz" wrap="square" lIns="38100" tIns="19050" rIns="38100" bIns="19050" anchor="ctr" anchorCtr="1">
                <a:spAutoFit/>
              </a:bodyPr>
              <a:lstStyle/>
              <a:p>
                <a:pPr>
                  <a:defRPr lang="ja-JP" sz="900" b="0" i="0"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Proposals!$C$65:$N$65</c:f>
              <c:numCache>
                <c:formatCode>#,##0.0;[Red]\-#,##0.0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4344-47F0-80D0-34E62B76CC6A}"/>
            </c:ext>
          </c:extLst>
        </c:ser>
        <c:dLbls>
          <c:dLblPos val="t"/>
          <c:showLegendKey val="0"/>
          <c:showVal val="1"/>
          <c:showCatName val="0"/>
          <c:showSerName val="0"/>
          <c:showPercent val="0"/>
          <c:showBubbleSize val="0"/>
        </c:dLbls>
        <c:marker val="1"/>
        <c:smooth val="0"/>
        <c:axId val="1095689295"/>
        <c:axId val="1095679695"/>
      </c:lineChart>
      <c:catAx>
        <c:axId val="1095689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ja-JP" sz="900" b="0" i="0" strike="noStrike" kern="1200" baseline="0">
                <a:solidFill>
                  <a:schemeClr val="tx1">
                    <a:lumMod val="65000"/>
                    <a:lumOff val="35000"/>
                  </a:schemeClr>
                </a:solidFill>
                <a:latin typeface="+mn-lt"/>
                <a:ea typeface="+mn-ea"/>
                <a:cs typeface="+mn-cs"/>
              </a:defRPr>
            </a:pPr>
            <a:endParaRPr lang="ja-JP"/>
          </a:p>
        </c:txPr>
        <c:crossAx val="1095679695"/>
        <c:crosses val="autoZero"/>
        <c:auto val="1"/>
        <c:lblAlgn val="ctr"/>
        <c:lblOffset val="100"/>
        <c:noMultiLvlLbl val="0"/>
      </c:catAx>
      <c:valAx>
        <c:axId val="1095679695"/>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Red]\-#,##0.0" sourceLinked="1"/>
        <c:majorTickMark val="none"/>
        <c:minorTickMark val="none"/>
        <c:tickLblPos val="nextTo"/>
        <c:spPr>
          <a:noFill/>
          <a:ln>
            <a:noFill/>
            <a:prstDash val="solid"/>
          </a:ln>
        </c:spPr>
        <c:txPr>
          <a:bodyPr rot="-60000000" spcFirstLastPara="1" vertOverflow="ellipsis" vert="horz" wrap="square" anchor="ctr" anchorCtr="1"/>
          <a:lstStyle/>
          <a:p>
            <a:pPr>
              <a:defRPr lang="ja-JP" sz="900" b="0" i="0" strike="noStrike" kern="1200" baseline="0">
                <a:solidFill>
                  <a:schemeClr val="tx1">
                    <a:lumMod val="65000"/>
                    <a:lumOff val="35000"/>
                  </a:schemeClr>
                </a:solidFill>
                <a:latin typeface="+mn-lt"/>
                <a:ea typeface="+mn-ea"/>
                <a:cs typeface="+mn-cs"/>
              </a:defRPr>
            </a:pPr>
            <a:endParaRPr lang="ja-JP"/>
          </a:p>
        </c:txPr>
        <c:crossAx val="1095689295"/>
        <c:crosses val="autoZero"/>
        <c:crossBetween val="between"/>
      </c:valAx>
    </c:plotArea>
    <c:plotVisOnly val="0"/>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Overview!$K$58</c:f>
          <c:strCache>
            <c:ptCount val="1"/>
            <c:pt idx="0">
              <c:v>2035 - Strategy 4: 100% ZNZ  |  Total 1208 USD/tVLSFOeq</c:v>
            </c:pt>
          </c:strCache>
        </c:strRef>
      </c:tx>
      <c:layout>
        <c:manualLayout>
          <c:xMode val="edge"/>
          <c:yMode val="edge"/>
          <c:x val="0.121668177697189"/>
          <c:y val="6.7531701562960803E-2"/>
        </c:manualLayout>
      </c:layout>
      <c:overlay val="0"/>
      <c:spPr>
        <a:noFill/>
        <a:ln w="0">
          <a:noFill/>
          <a:prstDash val="solid"/>
        </a:ln>
      </c:spPr>
      <c:txPr>
        <a:bodyPr rot="0"/>
        <a:lstStyle/>
        <a:p>
          <a:pPr>
            <a:defRPr lang="en-GB" sz="1200" b="0" strike="noStrike" spc="-1">
              <a:solidFill>
                <a:srgbClr val="595959"/>
              </a:solidFill>
              <a:latin typeface="Calibri Light"/>
            </a:defRPr>
          </a:pPr>
          <a:endParaRPr lang="en-US"/>
        </a:p>
      </c:txPr>
    </c:title>
    <c:autoTitleDeleted val="0"/>
    <c:plotArea>
      <c:layout>
        <c:manualLayout>
          <c:layoutTarget val="inner"/>
          <c:xMode val="edge"/>
          <c:yMode val="edge"/>
          <c:x val="1.28739800543971E-2"/>
          <c:y val="0.21785608964907099"/>
          <c:w val="0.94814143245693605"/>
          <c:h val="0.58839575346505502"/>
        </c:manualLayout>
      </c:layout>
      <c:barChart>
        <c:barDir val="col"/>
        <c:grouping val="stacked"/>
        <c:varyColors val="0"/>
        <c:ser>
          <c:idx val="0"/>
          <c:order val="0"/>
          <c:tx>
            <c:strRef>
              <c:f>Overview!$K$60</c:f>
              <c:strCache>
                <c:ptCount val="1"/>
                <c:pt idx="0">
                  <c:v>ZNZ fuel (after rewards and surplus)</c:v>
                </c:pt>
              </c:strCache>
            </c:strRef>
          </c:tx>
          <c:spPr>
            <a:solidFill>
              <a:srgbClr val="5E948A"/>
            </a:solidFill>
            <a:ln w="0">
              <a:noFill/>
              <a:prstDash val="solid"/>
            </a:ln>
          </c:spPr>
          <c:invertIfNegative val="0"/>
          <c:dLbls>
            <c:spPr>
              <a:noFill/>
              <a:ln>
                <a:noFill/>
                <a:prstDash val="solid"/>
              </a:ln>
            </c:spPr>
            <c:txPr>
              <a:bodyPr wrap="square"/>
              <a:lstStyle/>
              <a:p>
                <a:pPr>
                  <a:defRPr lang="ja-JP" sz="900" b="1" strike="noStrike" spc="-1">
                    <a:solidFill>
                      <a:srgbClr val="FFFFFF"/>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Overview!$L$60</c:f>
              <c:numCache>
                <c:formatCode>0</c:formatCode>
                <c:ptCount val="1"/>
                <c:pt idx="0">
                  <c:v>1208.353663394385</c:v>
                </c:pt>
              </c:numCache>
            </c:numRef>
          </c:val>
          <c:extLst>
            <c:ext xmlns:c16="http://schemas.microsoft.com/office/drawing/2014/chart" uri="{C3380CC4-5D6E-409C-BE32-E72D297353CC}">
              <c16:uniqueId val="{00000000-A6F5-4449-90BC-79AF8D8767E3}"/>
            </c:ext>
          </c:extLst>
        </c:ser>
        <c:ser>
          <c:idx val="1"/>
          <c:order val="1"/>
          <c:tx>
            <c:strRef>
              <c:f>Overview!$K$61</c:f>
              <c:strCache>
                <c:ptCount val="1"/>
                <c:pt idx="0">
                  <c:v>Tier 2 RU2</c:v>
                </c:pt>
              </c:strCache>
            </c:strRef>
          </c:tx>
          <c:spPr>
            <a:solidFill>
              <a:srgbClr val="C28080"/>
            </a:solidFill>
            <a:ln w="0">
              <a:noFill/>
              <a:prstDash val="solid"/>
            </a:ln>
          </c:spPr>
          <c:invertIfNegative val="0"/>
          <c:dLbls>
            <c:spPr>
              <a:noFill/>
              <a:ln>
                <a:noFill/>
                <a:prstDash val="solid"/>
              </a:ln>
            </c:spPr>
            <c:txPr>
              <a:bodyPr wrap="square"/>
              <a:lstStyle/>
              <a:p>
                <a:pPr>
                  <a:defRPr lang="ja-JP" sz="1000" b="0" strike="noStrike" spc="-1">
                    <a:solidFill>
                      <a:srgbClr val="000000"/>
                    </a:solidFill>
                    <a:latin typeface="Calibri"/>
                  </a:defRPr>
                </a:pPr>
                <a:endParaRPr lang="en-US"/>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Overview!$L$61</c:f>
              <c:numCache>
                <c:formatCode>0</c:formatCode>
                <c:ptCount val="1"/>
                <c:pt idx="0">
                  <c:v>0</c:v>
                </c:pt>
              </c:numCache>
            </c:numRef>
          </c:val>
          <c:extLst>
            <c:ext xmlns:c16="http://schemas.microsoft.com/office/drawing/2014/chart" uri="{C3380CC4-5D6E-409C-BE32-E72D297353CC}">
              <c16:uniqueId val="{00000001-A6F5-4449-90BC-79AF8D8767E3}"/>
            </c:ext>
          </c:extLst>
        </c:ser>
        <c:ser>
          <c:idx val="2"/>
          <c:order val="2"/>
          <c:tx>
            <c:strRef>
              <c:f>Overview!$K$62</c:f>
              <c:strCache>
                <c:ptCount val="1"/>
                <c:pt idx="0">
                  <c:v>Tier 1 RU1</c:v>
                </c:pt>
              </c:strCache>
            </c:strRef>
          </c:tx>
          <c:spPr>
            <a:solidFill>
              <a:srgbClr val="FFD966"/>
            </a:solidFill>
            <a:ln w="0">
              <a:noFill/>
              <a:prstDash val="solid"/>
            </a:ln>
          </c:spPr>
          <c:invertIfNegative val="0"/>
          <c:dLbls>
            <c:numFmt formatCode="#,##0;\-#,##0;;" sourceLinked="0"/>
            <c:spPr>
              <a:solidFill>
                <a:srgbClr val="FFD966"/>
              </a:solidFill>
              <a:ln>
                <a:noFill/>
                <a:prstDash val="solid"/>
              </a:ln>
            </c:spPr>
            <c:txPr>
              <a:bodyPr wrap="square"/>
              <a:lstStyle/>
              <a:p>
                <a:pPr>
                  <a:defRPr lang="ja-JP" sz="800" b="1" strike="noStrike" spc="-1">
                    <a:solidFill>
                      <a:srgbClr val="00000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Overview!$L$62</c:f>
              <c:numCache>
                <c:formatCode>0</c:formatCode>
                <c:ptCount val="1"/>
                <c:pt idx="0">
                  <c:v>0</c:v>
                </c:pt>
              </c:numCache>
            </c:numRef>
          </c:val>
          <c:extLst>
            <c:ext xmlns:c16="http://schemas.microsoft.com/office/drawing/2014/chart" uri="{C3380CC4-5D6E-409C-BE32-E72D297353CC}">
              <c16:uniqueId val="{00000002-A6F5-4449-90BC-79AF8D8767E3}"/>
            </c:ext>
          </c:extLst>
        </c:ser>
        <c:ser>
          <c:idx val="3"/>
          <c:order val="3"/>
          <c:tx>
            <c:strRef>
              <c:f>Overview!$K$63</c:f>
              <c:strCache>
                <c:ptCount val="1"/>
                <c:pt idx="0">
                  <c:v>GFI Surplus</c:v>
                </c:pt>
              </c:strCache>
            </c:strRef>
          </c:tx>
          <c:spPr>
            <a:pattFill prst="dkDnDiag">
              <a:fgClr>
                <a:schemeClr val="tx1">
                  <a:lumMod val="50000"/>
                  <a:lumOff val="50000"/>
                </a:schemeClr>
              </a:fgClr>
              <a:bgClr>
                <a:srgbClr val="FFFFFF"/>
              </a:bgClr>
            </a:pattFill>
            <a:ln w="0">
              <a:noFill/>
              <a:prstDash val="solid"/>
            </a:ln>
          </c:spPr>
          <c:invertIfNegative val="0"/>
          <c:dLbls>
            <c:numFmt formatCode="&quot;-&quot;#,##0;General;0" sourceLinked="0"/>
            <c:spPr>
              <a:solidFill>
                <a:srgbClr val="FFFFFF"/>
              </a:solidFill>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Overview!$L$63</c:f>
              <c:numCache>
                <c:formatCode>0</c:formatCode>
                <c:ptCount val="1"/>
                <c:pt idx="0">
                  <c:v>525.96033660561534</c:v>
                </c:pt>
              </c:numCache>
            </c:numRef>
          </c:val>
          <c:extLst>
            <c:ext xmlns:c16="http://schemas.microsoft.com/office/drawing/2014/chart" uri="{C3380CC4-5D6E-409C-BE32-E72D297353CC}">
              <c16:uniqueId val="{00000003-A6F5-4449-90BC-79AF8D8767E3}"/>
            </c:ext>
          </c:extLst>
        </c:ser>
        <c:ser>
          <c:idx val="4"/>
          <c:order val="4"/>
          <c:tx>
            <c:strRef>
              <c:f>Overview!$K$64</c:f>
              <c:strCache>
                <c:ptCount val="1"/>
                <c:pt idx="0">
                  <c:v>ZNZ Reward</c:v>
                </c:pt>
              </c:strCache>
            </c:strRef>
          </c:tx>
          <c:spPr>
            <a:pattFill prst="dkUpDiag">
              <a:fgClr>
                <a:srgbClr val="A3C5BF"/>
              </a:fgClr>
              <a:bgClr>
                <a:schemeClr val="bg1"/>
              </a:bgClr>
            </a:pattFill>
            <a:ln w="0">
              <a:noFill/>
              <a:prstDash val="solid"/>
            </a:ln>
          </c:spPr>
          <c:invertIfNegative val="0"/>
          <c:dPt>
            <c:idx val="0"/>
            <c:invertIfNegative val="0"/>
            <c:bubble3D val="0"/>
            <c:extLst>
              <c:ext xmlns:c16="http://schemas.microsoft.com/office/drawing/2014/chart" uri="{C3380CC4-5D6E-409C-BE32-E72D297353CC}">
                <c16:uniqueId val="{00000005-A6F5-4449-90BC-79AF8D8767E3}"/>
              </c:ext>
            </c:extLst>
          </c:dPt>
          <c:dLbls>
            <c:dLbl>
              <c:idx val="0"/>
              <c:dLblPos val="ctr"/>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A6F5-4449-90BC-79AF8D8767E3}"/>
                </c:ext>
              </c:extLst>
            </c:dLbl>
            <c:numFmt formatCode="&quot;-&quot;#,##0;General;0" sourceLinked="0"/>
            <c:spPr>
              <a:solidFill>
                <a:schemeClr val="bg1"/>
              </a:solidFill>
              <a:ln>
                <a:prstDash val="solid"/>
              </a:ln>
            </c:spPr>
            <c:txPr>
              <a:bodyPr wrap="square"/>
              <a:lstStyle/>
              <a:p>
                <a:pPr>
                  <a:defRPr lang="ja-JP" sz="900" b="1" strike="noStrike" spc="-1">
                    <a:solidFill>
                      <a:srgbClr val="404040"/>
                    </a:solidFill>
                    <a:latin typeface="Calibri"/>
                  </a:defRPr>
                </a:pPr>
                <a:endParaRPr lang="en-US"/>
              </a:p>
            </c:txPr>
            <c:dLblPos val="inBase"/>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Overview!$L$64</c:f>
              <c:numCache>
                <c:formatCode>0</c:formatCode>
                <c:ptCount val="1"/>
                <c:pt idx="0">
                  <c:v>326.71600000000001</c:v>
                </c:pt>
              </c:numCache>
            </c:numRef>
          </c:val>
          <c:extLst>
            <c:ext xmlns:c16="http://schemas.microsoft.com/office/drawing/2014/chart" uri="{C3380CC4-5D6E-409C-BE32-E72D297353CC}">
              <c16:uniqueId val="{00000006-A6F5-4449-90BC-79AF8D8767E3}"/>
            </c:ext>
          </c:extLst>
        </c:ser>
        <c:dLbls>
          <c:showLegendKey val="0"/>
          <c:showVal val="0"/>
          <c:showCatName val="0"/>
          <c:showSerName val="0"/>
          <c:showPercent val="0"/>
          <c:showBubbleSize val="0"/>
        </c:dLbls>
        <c:gapWidth val="150"/>
        <c:overlap val="100"/>
        <c:axId val="92596035"/>
        <c:axId val="47002769"/>
      </c:barChart>
      <c:lineChart>
        <c:grouping val="stacked"/>
        <c:varyColors val="0"/>
        <c:ser>
          <c:idx val="5"/>
          <c:order val="5"/>
          <c:tx>
            <c:strRef>
              <c:f>Overview!$K$65</c:f>
              <c:strCache>
                <c:ptCount val="1"/>
                <c:pt idx="0">
                  <c:v>Total S4</c:v>
                </c:pt>
              </c:strCache>
            </c:strRef>
          </c:tx>
          <c:spPr>
            <a:ln w="28440" cap="rnd">
              <a:solidFill>
                <a:srgbClr val="70AD47"/>
              </a:solidFill>
              <a:prstDash val="solid"/>
              <a:round/>
            </a:ln>
          </c:spPr>
          <c:marker>
            <c:symbol val="none"/>
          </c:marker>
          <c:dPt>
            <c:idx val="0"/>
            <c:bubble3D val="0"/>
            <c:spPr>
              <a:ln>
                <a:prstDash val="solid"/>
              </a:ln>
            </c:spPr>
            <c:extLst>
              <c:ext xmlns:c16="http://schemas.microsoft.com/office/drawing/2014/chart" uri="{C3380CC4-5D6E-409C-BE32-E72D297353CC}">
                <c16:uniqueId val="{00000008-A6F5-4449-90BC-79AF8D8767E3}"/>
              </c:ext>
            </c:extLst>
          </c:dPt>
          <c:dLbls>
            <c:dLbl>
              <c:idx val="0"/>
              <c:spPr>
                <a:ln>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A6F5-4449-90BC-79AF8D8767E3}"/>
                </c:ext>
              </c:extLst>
            </c:dLbl>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Overview!$L$65</c:f>
              <c:numCache>
                <c:formatCode>0</c:formatCode>
                <c:ptCount val="1"/>
                <c:pt idx="0">
                  <c:v>1208.353663394385</c:v>
                </c:pt>
              </c:numCache>
            </c:numRef>
          </c:val>
          <c:smooth val="0"/>
          <c:extLst>
            <c:ext xmlns:c16="http://schemas.microsoft.com/office/drawing/2014/chart" uri="{C3380CC4-5D6E-409C-BE32-E72D297353CC}">
              <c16:uniqueId val="{00000009-A6F5-4449-90BC-79AF8D8767E3}"/>
            </c:ext>
          </c:extLst>
        </c:ser>
        <c:dLbls>
          <c:showLegendKey val="0"/>
          <c:showVal val="0"/>
          <c:showCatName val="0"/>
          <c:showSerName val="0"/>
          <c:showPercent val="0"/>
          <c:showBubbleSize val="0"/>
        </c:dLbls>
        <c:hiLowLines>
          <c:spPr>
            <a:ln w="0">
              <a:noFill/>
              <a:prstDash val="solid"/>
            </a:ln>
          </c:spPr>
        </c:hiLowLines>
        <c:marker val="1"/>
        <c:smooth val="0"/>
        <c:axId val="92596035"/>
        <c:axId val="47002769"/>
      </c:lineChart>
      <c:catAx>
        <c:axId val="92596035"/>
        <c:scaling>
          <c:orientation val="minMax"/>
        </c:scaling>
        <c:delete val="1"/>
        <c:axPos val="b"/>
        <c:numFmt formatCode="General" sourceLinked="1"/>
        <c:majorTickMark val="none"/>
        <c:minorTickMark val="none"/>
        <c:tickLblPos val="nextTo"/>
        <c:crossAx val="47002769"/>
        <c:crosses val="autoZero"/>
        <c:auto val="1"/>
        <c:lblAlgn val="ctr"/>
        <c:lblOffset val="100"/>
        <c:noMultiLvlLbl val="0"/>
      </c:catAx>
      <c:valAx>
        <c:axId val="47002769"/>
        <c:scaling>
          <c:orientation val="minMax"/>
          <c:max val="2700"/>
          <c:min val="-100"/>
        </c:scaling>
        <c:delete val="1"/>
        <c:axPos val="l"/>
        <c:title>
          <c:tx>
            <c:rich>
              <a:bodyPr rot="-5400000"/>
              <a:lstStyle/>
              <a:p>
                <a:pPr>
                  <a:defRPr lang="en-US" sz="1000" b="0" strike="noStrike" spc="-1">
                    <a:solidFill>
                      <a:srgbClr val="595959"/>
                    </a:solidFill>
                    <a:latin typeface="Calibri"/>
                  </a:defRPr>
                </a:pPr>
                <a:r>
                  <a:rPr lang="en-US" sz="1000" b="0" strike="noStrike" spc="-1">
                    <a:solidFill>
                      <a:srgbClr val="595959"/>
                    </a:solidFill>
                    <a:latin typeface="Calibri"/>
                  </a:rPr>
                  <a:t>USD/tLSFOeq</a:t>
                </a:r>
              </a:p>
            </c:rich>
          </c:tx>
          <c:overlay val="0"/>
          <c:spPr>
            <a:noFill/>
            <a:ln w="0">
              <a:noFill/>
              <a:prstDash val="solid"/>
            </a:ln>
          </c:spPr>
        </c:title>
        <c:numFmt formatCode="0" sourceLinked="1"/>
        <c:majorTickMark val="out"/>
        <c:minorTickMark val="none"/>
        <c:tickLblPos val="nextTo"/>
        <c:crossAx val="92596035"/>
        <c:crosses val="autoZero"/>
        <c:crossBetween val="between"/>
      </c:valAx>
    </c:plotArea>
    <c:legend>
      <c:legendPos val="r"/>
      <c:legendEntry>
        <c:idx val="5"/>
        <c:delete val="1"/>
      </c:legendEntry>
      <c:layout>
        <c:manualLayout>
          <c:xMode val="edge"/>
          <c:yMode val="edge"/>
          <c:x val="2.5486731346773098E-2"/>
          <c:y val="0.78958014074647898"/>
          <c:w val="0.97451326865322696"/>
          <c:h val="0.210419859253521"/>
        </c:manualLayout>
      </c:layout>
      <c:overlay val="0"/>
      <c:spPr>
        <a:noFill/>
        <a:ln w="0">
          <a:noFill/>
          <a:prstDash val="solid"/>
        </a:ln>
      </c:spPr>
      <c:txPr>
        <a:bodyPr/>
        <a:lstStyle/>
        <a:p>
          <a:pPr>
            <a:defRPr lang="ja-JP" sz="1000" b="0" strike="noStrike" spc="-1">
              <a:solidFill>
                <a:srgbClr val="595959"/>
              </a:solidFill>
              <a:latin typeface="Calibri"/>
            </a:defRPr>
          </a:pPr>
          <a:endParaRPr lang="en-US"/>
        </a:p>
      </c:txPr>
    </c:legend>
    <c:plotVisOnly val="0"/>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lang="en-US" sz="1400" b="1" strike="noStrike" spc="-1">
                <a:solidFill>
                  <a:srgbClr val="595959"/>
                </a:solidFill>
                <a:latin typeface="Calibri Light"/>
              </a:defRPr>
            </a:pPr>
            <a:r>
              <a:rPr lang="en-US" sz="1400" b="1" strike="noStrike" spc="-1">
                <a:solidFill>
                  <a:srgbClr val="595959"/>
                </a:solidFill>
                <a:latin typeface="Calibri Light"/>
              </a:rPr>
              <a:t>NZF Softer Start, </a:t>
            </a:r>
            <a:r>
              <a:rPr lang="en-GB" sz="1400" b="1" i="0" u="none" strike="noStrike" baseline="0"/>
              <a:t>CL.5214 - Brazil</a:t>
            </a:r>
            <a:r>
              <a:rPr lang="en-US" sz="1400" b="1" strike="noStrike" spc="-1">
                <a:solidFill>
                  <a:srgbClr val="595959"/>
                </a:solidFill>
                <a:latin typeface="Calibri Light"/>
              </a:rPr>
              <a:t> [USD/tVLSFOeq] </a:t>
            </a:r>
          </a:p>
        </c:rich>
      </c:tx>
      <c:layout>
        <c:manualLayout>
          <c:xMode val="edge"/>
          <c:yMode val="edge"/>
          <c:x val="0.20010672086860545"/>
          <c:y val="1.6588263123790827E-2"/>
        </c:manualLayout>
      </c:layout>
      <c:overlay val="0"/>
      <c:spPr>
        <a:noFill/>
        <a:ln w="0">
          <a:noFill/>
          <a:prstDash val="solid"/>
        </a:ln>
      </c:spPr>
    </c:title>
    <c:autoTitleDeleted val="0"/>
    <c:plotArea>
      <c:layout>
        <c:manualLayout>
          <c:layoutTarget val="inner"/>
          <c:xMode val="edge"/>
          <c:yMode val="edge"/>
          <c:x val="6.7809888579387204E-2"/>
          <c:y val="0.118692408951294"/>
          <c:w val="0.90076601671309198"/>
          <c:h val="0.78066037735849103"/>
        </c:manualLayout>
      </c:layout>
      <c:lineChart>
        <c:grouping val="standard"/>
        <c:varyColors val="0"/>
        <c:ser>
          <c:idx val="0"/>
          <c:order val="0"/>
          <c:tx>
            <c:strRef>
              <c:f>Overview!$B$53</c:f>
              <c:strCache>
                <c:ptCount val="1"/>
                <c:pt idx="0">
                  <c:v>Strategy 1: VLSFO + bio-diesel (base case)</c:v>
                </c:pt>
              </c:strCache>
            </c:strRef>
          </c:tx>
          <c:spPr>
            <a:ln w="38160" cap="rnd">
              <a:solidFill>
                <a:srgbClr val="595959"/>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Proposals!$C$71:$N$71</c:f>
              <c:numCache>
                <c:formatCode>#,##0_);[Red]\(#,##0\)</c:formatCode>
                <c:ptCount val="12"/>
                <c:pt idx="0">
                  <c:v>646.52941143480302</c:v>
                </c:pt>
                <c:pt idx="1">
                  <c:v>648.06431842966197</c:v>
                </c:pt>
                <c:pt idx="2">
                  <c:v>712.2864942857143</c:v>
                </c:pt>
                <c:pt idx="3">
                  <c:v>727.64804008724104</c:v>
                </c:pt>
                <c:pt idx="4">
                  <c:v>767.64197860414401</c:v>
                </c:pt>
                <c:pt idx="5">
                  <c:v>809.53816649945475</c:v>
                </c:pt>
                <c:pt idx="6">
                  <c:v>853.87822427480921</c:v>
                </c:pt>
                <c:pt idx="7">
                  <c:v>900.6621519302073</c:v>
                </c:pt>
                <c:pt idx="8">
                  <c:v>997.56679074809165</c:v>
                </c:pt>
                <c:pt idx="9">
                  <c:v>1101.7980376968374</c:v>
                </c:pt>
                <c:pt idx="10">
                  <c:v>1209.0323234416576</c:v>
                </c:pt>
                <c:pt idx="11">
                  <c:v>1321.1987829443838</c:v>
                </c:pt>
              </c:numCache>
            </c:numRef>
          </c:val>
          <c:smooth val="0"/>
          <c:extLst>
            <c:ext xmlns:c16="http://schemas.microsoft.com/office/drawing/2014/chart" uri="{C3380CC4-5D6E-409C-BE32-E72D297353CC}">
              <c16:uniqueId val="{00000000-4A99-4203-9F18-C48F92FAEC25}"/>
            </c:ext>
          </c:extLst>
        </c:ser>
        <c:ser>
          <c:idx val="1"/>
          <c:order val="1"/>
          <c:tx>
            <c:strRef>
              <c:f>Overview!$B$54</c:f>
              <c:strCache>
                <c:ptCount val="1"/>
                <c:pt idx="0">
                  <c:v>Strategy 2: LNG + bio-methane</c:v>
                </c:pt>
              </c:strCache>
            </c:strRef>
          </c:tx>
          <c:spPr>
            <a:ln w="38160" cap="rnd">
              <a:solidFill>
                <a:srgbClr val="A6A6A6"/>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Proposals!$C$77:$N$77</c:f>
              <c:numCache>
                <c:formatCode>#,##0_);[Red]\(#,##0\)</c:formatCode>
                <c:ptCount val="12"/>
                <c:pt idx="0">
                  <c:v>398.33904533416433</c:v>
                </c:pt>
                <c:pt idx="1">
                  <c:v>371.74407306434028</c:v>
                </c:pt>
                <c:pt idx="2">
                  <c:v>458.21404000000001</c:v>
                </c:pt>
                <c:pt idx="3">
                  <c:v>465.48996</c:v>
                </c:pt>
                <c:pt idx="4">
                  <c:v>497.46175651799649</c:v>
                </c:pt>
                <c:pt idx="5">
                  <c:v>545.04885726425573</c:v>
                </c:pt>
                <c:pt idx="6">
                  <c:v>594.8279850488193</c:v>
                </c:pt>
                <c:pt idx="7">
                  <c:v>645.8565770491025</c:v>
                </c:pt>
                <c:pt idx="8">
                  <c:v>751.11294434721924</c:v>
                </c:pt>
                <c:pt idx="9">
                  <c:v>860.79322075900461</c:v>
                </c:pt>
                <c:pt idx="10">
                  <c:v>972.33634012760513</c:v>
                </c:pt>
                <c:pt idx="11">
                  <c:v>1090.3249336553044</c:v>
                </c:pt>
              </c:numCache>
            </c:numRef>
          </c:val>
          <c:smooth val="0"/>
          <c:extLst>
            <c:ext xmlns:c16="http://schemas.microsoft.com/office/drawing/2014/chart" uri="{C3380CC4-5D6E-409C-BE32-E72D297353CC}">
              <c16:uniqueId val="{00000001-4A99-4203-9F18-C48F92FAEC25}"/>
            </c:ext>
          </c:extLst>
        </c:ser>
        <c:ser>
          <c:idx val="2"/>
          <c:order val="2"/>
          <c:tx>
            <c:strRef>
              <c:f>Overview!$B$55</c:f>
              <c:strCache>
                <c:ptCount val="1"/>
                <c:pt idx="0">
                  <c:v>Strategy 3: VLSFO + ZNZ</c:v>
                </c:pt>
              </c:strCache>
            </c:strRef>
          </c:tx>
          <c:spPr>
            <a:ln w="38160" cap="rnd">
              <a:solidFill>
                <a:srgbClr val="5E948A"/>
              </a:solidFill>
              <a:prstDash val="sysDash"/>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Proposals!$C$83:$N$83</c:f>
              <c:numCache>
                <c:formatCode>#,##0_);[Red]\(#,##0\)</c:formatCode>
                <c:ptCount val="12"/>
                <c:pt idx="0">
                  <c:v>680.05979542857165</c:v>
                </c:pt>
                <c:pt idx="1">
                  <c:v>685.83827200000007</c:v>
                </c:pt>
                <c:pt idx="2">
                  <c:v>759.66784800000005</c:v>
                </c:pt>
                <c:pt idx="3">
                  <c:v>783.5259440000001</c:v>
                </c:pt>
                <c:pt idx="4">
                  <c:v>842.44095520000008</c:v>
                </c:pt>
                <c:pt idx="5">
                  <c:v>901.35596640000017</c:v>
                </c:pt>
                <c:pt idx="6">
                  <c:v>931.20795906725584</c:v>
                </c:pt>
                <c:pt idx="7">
                  <c:v>976.32081934217001</c:v>
                </c:pt>
                <c:pt idx="8">
                  <c:v>1076.0209309278353</c:v>
                </c:pt>
                <c:pt idx="9">
                  <c:v>1170.4006395562101</c:v>
                </c:pt>
                <c:pt idx="10">
                  <c:v>1259.4599452272951</c:v>
                </c:pt>
                <c:pt idx="11">
                  <c:v>1343.19884794109</c:v>
                </c:pt>
              </c:numCache>
            </c:numRef>
          </c:val>
          <c:smooth val="0"/>
          <c:extLst>
            <c:ext xmlns:c16="http://schemas.microsoft.com/office/drawing/2014/chart" uri="{C3380CC4-5D6E-409C-BE32-E72D297353CC}">
              <c16:uniqueId val="{00000002-4A99-4203-9F18-C48F92FAEC25}"/>
            </c:ext>
          </c:extLst>
        </c:ser>
        <c:ser>
          <c:idx val="3"/>
          <c:order val="3"/>
          <c:tx>
            <c:strRef>
              <c:f>Overview!$B$56</c:f>
              <c:strCache>
                <c:ptCount val="1"/>
                <c:pt idx="0">
                  <c:v>Strategy 4: 100% ZNZ</c:v>
                </c:pt>
              </c:strCache>
            </c:strRef>
          </c:tx>
          <c:spPr>
            <a:ln w="38160" cap="rnd">
              <a:solidFill>
                <a:srgbClr val="5E948A"/>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Proposals!$C$89:$N$89</c:f>
              <c:numCache>
                <c:formatCode>#,##0_);[Red]\(#,##0\)</c:formatCode>
                <c:ptCount val="12"/>
                <c:pt idx="0">
                  <c:v>1332.572183829257</c:v>
                </c:pt>
                <c:pt idx="1">
                  <c:v>1258.576431842966</c:v>
                </c:pt>
                <c:pt idx="2">
                  <c:v>1270.0175971269284</c:v>
                </c:pt>
                <c:pt idx="3">
                  <c:v>1236.0946898453624</c:v>
                </c:pt>
                <c:pt idx="4">
                  <c:v>1222.2205609503253</c:v>
                </c:pt>
                <c:pt idx="5">
                  <c:v>1214.4705950134069</c:v>
                </c:pt>
                <c:pt idx="6">
                  <c:v>1124.0260305845272</c:v>
                </c:pt>
                <c:pt idx="7">
                  <c:v>1117.6024887557187</c:v>
                </c:pt>
                <c:pt idx="8">
                  <c:v>1156.9690744945715</c:v>
                </c:pt>
                <c:pt idx="9">
                  <c:v>1221.4924252800001</c:v>
                </c:pt>
                <c:pt idx="10">
                  <c:v>1319.68501152</c:v>
                </c:pt>
                <c:pt idx="11">
                  <c:v>1417.8775977600003</c:v>
                </c:pt>
              </c:numCache>
            </c:numRef>
          </c:val>
          <c:smooth val="0"/>
          <c:extLst>
            <c:ext xmlns:c16="http://schemas.microsoft.com/office/drawing/2014/chart" uri="{C3380CC4-5D6E-409C-BE32-E72D297353CC}">
              <c16:uniqueId val="{00000003-4A99-4203-9F18-C48F92FAEC25}"/>
            </c:ext>
          </c:extLst>
        </c:ser>
        <c:dLbls>
          <c:showLegendKey val="0"/>
          <c:showVal val="0"/>
          <c:showCatName val="0"/>
          <c:showSerName val="0"/>
          <c:showPercent val="0"/>
          <c:showBubbleSize val="0"/>
        </c:dLbls>
        <c:hiLowLines>
          <c:spPr>
            <a:ln w="0">
              <a:noFill/>
              <a:prstDash val="solid"/>
            </a:ln>
          </c:spPr>
        </c:hiLowLines>
        <c:smooth val="0"/>
        <c:axId val="2838396"/>
        <c:axId val="12178458"/>
      </c:lineChart>
      <c:catAx>
        <c:axId val="2838396"/>
        <c:scaling>
          <c:orientation val="minMax"/>
        </c:scaling>
        <c:delete val="0"/>
        <c:axPos val="b"/>
        <c:numFmt formatCode="General" sourceLinked="0"/>
        <c:majorTickMark val="none"/>
        <c:minorTickMark val="none"/>
        <c:tickLblPos val="nextTo"/>
        <c:spPr>
          <a:ln w="9360">
            <a:solidFill>
              <a:srgbClr val="D9D9D9"/>
            </a:solidFill>
            <a:prstDash val="solid"/>
            <a:round/>
          </a:ln>
        </c:spPr>
        <c:txPr>
          <a:bodyPr/>
          <a:lstStyle/>
          <a:p>
            <a:pPr>
              <a:defRPr lang="ja-JP" sz="900" b="0" strike="noStrike" spc="-1">
                <a:solidFill>
                  <a:srgbClr val="595959"/>
                </a:solidFill>
                <a:latin typeface="Calibri"/>
              </a:defRPr>
            </a:pPr>
            <a:endParaRPr lang="en-US"/>
          </a:p>
        </c:txPr>
        <c:crossAx val="12178458"/>
        <c:crosses val="autoZero"/>
        <c:auto val="1"/>
        <c:lblAlgn val="ctr"/>
        <c:lblOffset val="100"/>
        <c:noMultiLvlLbl val="0"/>
      </c:catAx>
      <c:valAx>
        <c:axId val="12178458"/>
        <c:scaling>
          <c:orientation val="minMax"/>
          <c:max val="2500"/>
        </c:scaling>
        <c:delete val="0"/>
        <c:axPos val="l"/>
        <c:numFmt formatCode="0" sourceLinked="0"/>
        <c:majorTickMark val="none"/>
        <c:minorTickMark val="none"/>
        <c:tickLblPos val="nextTo"/>
        <c:spPr>
          <a:ln w="6480">
            <a:noFill/>
            <a:prstDash val="solid"/>
          </a:ln>
        </c:spPr>
        <c:txPr>
          <a:bodyPr/>
          <a:lstStyle/>
          <a:p>
            <a:pPr>
              <a:defRPr lang="ja-JP" sz="900" b="0" strike="noStrike" spc="-1">
                <a:solidFill>
                  <a:srgbClr val="595959"/>
                </a:solidFill>
                <a:latin typeface="Calibri"/>
              </a:defRPr>
            </a:pPr>
            <a:endParaRPr lang="en-US"/>
          </a:p>
        </c:txPr>
        <c:crossAx val="2838396"/>
        <c:crosses val="autoZero"/>
        <c:crossBetween val="between"/>
      </c:valAx>
    </c:plotArea>
    <c:legend>
      <c:legendPos val="b"/>
      <c:layout>
        <c:manualLayout>
          <c:xMode val="edge"/>
          <c:yMode val="edge"/>
          <c:x val="0.11729166666666667"/>
          <c:y val="0.16618611111111115"/>
          <c:w val="0.40496149966864148"/>
          <c:h val="0.23136226851851849"/>
        </c:manualLayout>
      </c:layout>
      <c:overlay val="0"/>
      <c:spPr>
        <a:noFill/>
        <a:ln w="0">
          <a:noFill/>
          <a:prstDash val="solid"/>
        </a:ln>
      </c:spPr>
      <c:txPr>
        <a:bodyPr/>
        <a:lstStyle/>
        <a:p>
          <a:pPr>
            <a:defRPr lang="ja-JP" sz="900" b="0" strike="noStrike" spc="-1">
              <a:solidFill>
                <a:srgbClr val="595959"/>
              </a:solidFill>
              <a:latin typeface="Calibri Light"/>
            </a:defRPr>
          </a:pPr>
          <a:endParaRPr lang="en-US"/>
        </a:p>
      </c:txPr>
    </c:legend>
    <c:plotVisOnly val="0"/>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strike="noStrike" kern="1200" spc="0" baseline="0">
                <a:solidFill>
                  <a:schemeClr val="tx1">
                    <a:lumMod val="65000"/>
                    <a:lumOff val="35000"/>
                  </a:schemeClr>
                </a:solidFill>
                <a:latin typeface="+mn-lt"/>
                <a:ea typeface="+mn-ea"/>
                <a:cs typeface="+mn-cs"/>
              </a:defRPr>
            </a:pPr>
            <a:r>
              <a:rPr lang="en-US" altLang="ja-JP" b="1" baseline="0">
                <a:solidFill>
                  <a:schemeClr val="tx1">
                    <a:lumMod val="85000"/>
                    <a:lumOff val="15000"/>
                  </a:schemeClr>
                </a:solidFill>
                <a:latin typeface="Arial" panose="020B0604020202020204" pitchFamily="34" charset="0"/>
                <a:cs typeface="Arial" panose="020B0604020202020204" pitchFamily="34" charset="0"/>
              </a:rPr>
              <a:t>Market-defined GFS</a:t>
            </a:r>
            <a:r>
              <a:rPr lang="en-US" altLang="ja-JP" baseline="0">
                <a:solidFill>
                  <a:schemeClr val="tx1">
                    <a:lumMod val="85000"/>
                    <a:lumOff val="15000"/>
                  </a:schemeClr>
                </a:solidFill>
                <a:latin typeface="Arial" panose="020B0604020202020204" pitchFamily="34" charset="0"/>
                <a:cs typeface="Arial" panose="020B0604020202020204" pitchFamily="34" charset="0"/>
              </a:rPr>
              <a:t> (</a:t>
            </a:r>
            <a:r>
              <a:rPr lang="en-US" altLang="ja-JP" b="1" baseline="0">
                <a:solidFill>
                  <a:srgbClr val="FF0000"/>
                </a:solidFill>
                <a:latin typeface="Arial" panose="020B0604020202020204" pitchFamily="34" charset="0"/>
                <a:cs typeface="Arial" panose="020B0604020202020204" pitchFamily="34" charset="0"/>
              </a:rPr>
              <a:t>BT</a:t>
            </a:r>
            <a:r>
              <a:rPr lang="en-US" altLang="ja-JP" baseline="0">
                <a:solidFill>
                  <a:schemeClr val="tx1">
                    <a:lumMod val="85000"/>
                    <a:lumOff val="15000"/>
                  </a:schemeClr>
                </a:solidFill>
                <a:latin typeface="Arial" panose="020B0604020202020204" pitchFamily="34" charset="0"/>
                <a:cs typeface="Arial" panose="020B0604020202020204" pitchFamily="34" charset="0"/>
              </a:rPr>
              <a:t> / </a:t>
            </a:r>
            <a:r>
              <a:rPr lang="en-US" altLang="ja-JP" b="1" baseline="0">
                <a:solidFill>
                  <a:schemeClr val="accent2"/>
                </a:solidFill>
                <a:latin typeface="Arial" panose="020B0604020202020204" pitchFamily="34" charset="0"/>
                <a:cs typeface="Arial" panose="020B0604020202020204" pitchFamily="34" charset="0"/>
              </a:rPr>
              <a:t>DCT</a:t>
            </a:r>
            <a:r>
              <a:rPr lang="en-US" altLang="ja-JP" baseline="0">
                <a:solidFill>
                  <a:schemeClr val="tx1">
                    <a:lumMod val="85000"/>
                    <a:lumOff val="15000"/>
                  </a:schemeClr>
                </a:solidFill>
                <a:latin typeface="Arial" panose="020B0604020202020204" pitchFamily="34" charset="0"/>
                <a:cs typeface="Arial" panose="020B0604020202020204" pitchFamily="34" charset="0"/>
              </a:rPr>
              <a:t>) </a:t>
            </a:r>
          </a:p>
          <a:p>
            <a:pPr>
              <a:defRPr lang="ja-JP" sz="1400" b="0" i="0" strike="noStrike" kern="1200" spc="0" baseline="0">
                <a:solidFill>
                  <a:schemeClr val="tx1">
                    <a:lumMod val="65000"/>
                    <a:lumOff val="35000"/>
                  </a:schemeClr>
                </a:solidFill>
                <a:latin typeface="+mn-lt"/>
                <a:ea typeface="+mn-ea"/>
                <a:cs typeface="+mn-cs"/>
              </a:defRPr>
            </a:pPr>
            <a:r>
              <a:rPr lang="en-US" altLang="ja-JP" baseline="0">
                <a:solidFill>
                  <a:schemeClr val="tx1">
                    <a:lumMod val="85000"/>
                    <a:lumOff val="15000"/>
                  </a:schemeClr>
                </a:solidFill>
                <a:latin typeface="Arial" panose="020B0604020202020204" pitchFamily="34" charset="0"/>
                <a:cs typeface="Arial" panose="020B0604020202020204" pitchFamily="34" charset="0"/>
              </a:rPr>
              <a:t>vs As-Is (dashed)</a:t>
            </a:r>
            <a:endParaRPr lang="ja-JP" altLang="en-US">
              <a:solidFill>
                <a:schemeClr val="tx1">
                  <a:lumMod val="85000"/>
                  <a:lumOff val="15000"/>
                </a:schemeClr>
              </a:solidFill>
              <a:latin typeface="Arial" panose="020B0604020202020204" pitchFamily="34" charset="0"/>
              <a:cs typeface="Arial" panose="020B0604020202020204" pitchFamily="34" charset="0"/>
            </a:endParaRPr>
          </a:p>
        </c:rich>
      </c:tx>
      <c:overlay val="0"/>
      <c:spPr>
        <a:noFill/>
        <a:ln>
          <a:noFill/>
          <a:prstDash val="solid"/>
        </a:ln>
      </c:spPr>
    </c:title>
    <c:autoTitleDeleted val="0"/>
    <c:plotArea>
      <c:layout/>
      <c:lineChart>
        <c:grouping val="standard"/>
        <c:varyColors val="0"/>
        <c:ser>
          <c:idx val="0"/>
          <c:order val="0"/>
          <c:tx>
            <c:strRef>
              <c:f>Proposals!$B$55</c:f>
              <c:strCache>
                <c:ptCount val="1"/>
                <c:pt idx="0">
                  <c:v>NZF as-is</c:v>
                </c:pt>
              </c:strCache>
            </c:strRef>
          </c:tx>
          <c:spPr>
            <a:ln w="28575" cap="rnd">
              <a:solidFill>
                <a:srgbClr val="FF0000"/>
              </a:solidFill>
              <a:prstDash val="sysDot"/>
              <a:round/>
            </a:ln>
          </c:spPr>
          <c:marker>
            <c:symbol val="circle"/>
            <c:size val="5"/>
            <c:spPr>
              <a:solidFill>
                <a:srgbClr val="FF0000"/>
              </a:solidFill>
              <a:ln w="9525">
                <a:solidFill>
                  <a:srgbClr val="FF0000"/>
                </a:solidFill>
                <a:prstDash val="sysDot"/>
              </a:ln>
            </c:spPr>
          </c:marker>
          <c:dLbls>
            <c:delete val="1"/>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Proposals!$C$55:$N$55</c:f>
              <c:numCache>
                <c:formatCode>#,##0.0;[Red]\-#,##0.0</c:formatCode>
                <c:ptCount val="12"/>
                <c:pt idx="0">
                  <c:v>87.701999999999998</c:v>
                </c:pt>
                <c:pt idx="1">
                  <c:v>85.835999999999999</c:v>
                </c:pt>
                <c:pt idx="2">
                  <c:v>81.730800000000002</c:v>
                </c:pt>
                <c:pt idx="3">
                  <c:v>77.625599999999991</c:v>
                </c:pt>
                <c:pt idx="4">
                  <c:v>73.520399999999995</c:v>
                </c:pt>
                <c:pt idx="5">
                  <c:v>69.415199999999999</c:v>
                </c:pt>
                <c:pt idx="6">
                  <c:v>65.309999999999988</c:v>
                </c:pt>
                <c:pt idx="7">
                  <c:v>58.778999999999996</c:v>
                </c:pt>
                <c:pt idx="8">
                  <c:v>52.248000000000005</c:v>
                </c:pt>
                <c:pt idx="9">
                  <c:v>45.716999999999999</c:v>
                </c:pt>
                <c:pt idx="10">
                  <c:v>39.186</c:v>
                </c:pt>
                <c:pt idx="11">
                  <c:v>32.654999999999994</c:v>
                </c:pt>
              </c:numCache>
            </c:numRef>
          </c:val>
          <c:smooth val="0"/>
          <c:extLst>
            <c:ext xmlns:c16="http://schemas.microsoft.com/office/drawing/2014/chart" uri="{C3380CC4-5D6E-409C-BE32-E72D297353CC}">
              <c16:uniqueId val="{00000000-8703-43A7-A39E-365DFB729322}"/>
            </c:ext>
          </c:extLst>
        </c:ser>
        <c:ser>
          <c:idx val="1"/>
          <c:order val="1"/>
          <c:tx>
            <c:strRef>
              <c:f>Proposals!$B$58</c:f>
              <c:strCache>
                <c:ptCount val="1"/>
                <c:pt idx="0">
                  <c:v>Market-defined GFS</c:v>
                </c:pt>
              </c:strCache>
            </c:strRef>
          </c:tx>
          <c:spPr>
            <a:ln w="28575" cap="rnd">
              <a:solidFill>
                <a:srgbClr val="FF0000"/>
              </a:solidFill>
              <a:prstDash val="solid"/>
              <a:round/>
            </a:ln>
          </c:spPr>
          <c:marker>
            <c:symbol val="circle"/>
            <c:size val="5"/>
            <c:spPr>
              <a:solidFill>
                <a:srgbClr val="FF0000"/>
              </a:solidFill>
              <a:ln w="9525">
                <a:solidFill>
                  <a:srgbClr val="FF0000"/>
                </a:solidFill>
                <a:prstDash val="solid"/>
              </a:ln>
            </c:spPr>
          </c:marker>
          <c:dLbls>
            <c:spPr>
              <a:noFill/>
              <a:ln>
                <a:noFill/>
                <a:prstDash val="solid"/>
              </a:ln>
            </c:spPr>
            <c:txPr>
              <a:bodyPr rot="0" spcFirstLastPara="1" vertOverflow="ellipsis" vert="horz" wrap="square" lIns="38100" tIns="19050" rIns="38100" bIns="19050" anchor="ctr" anchorCtr="1">
                <a:spAutoFit/>
              </a:bodyPr>
              <a:lstStyle/>
              <a:p>
                <a:pPr>
                  <a:defRPr lang="ja-JP" sz="900" b="0" i="0" strike="noStrike" kern="1200" baseline="0">
                    <a:solidFill>
                      <a:schemeClr val="tx1">
                        <a:lumMod val="75000"/>
                        <a:lumOff val="25000"/>
                      </a:schemeClr>
                    </a:solidFill>
                    <a:latin typeface="+mn-lt"/>
                    <a:ea typeface="+mn-ea"/>
                    <a:cs typeface="+mn-cs"/>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Proposals!$C$58:$N$58</c:f>
              <c:numCache>
                <c:formatCode>#,##0.0;[Red]\-#,##0.0</c:formatCode>
                <c:ptCount val="12"/>
                <c:pt idx="0">
                  <c:v>90.276638888888883</c:v>
                </c:pt>
                <c:pt idx="1">
                  <c:v>89.787444444444446</c:v>
                </c:pt>
                <c:pt idx="2">
                  <c:v>89.298249999999996</c:v>
                </c:pt>
                <c:pt idx="3">
                  <c:v>88.80905555555556</c:v>
                </c:pt>
                <c:pt idx="4">
                  <c:v>88.319861111111109</c:v>
                </c:pt>
                <c:pt idx="5">
                  <c:v>87.830666666666673</c:v>
                </c:pt>
                <c:pt idx="6">
                  <c:v>87.341472222222222</c:v>
                </c:pt>
                <c:pt idx="7">
                  <c:v>86.852277777777772</c:v>
                </c:pt>
                <c:pt idx="8">
                  <c:v>86.363083333333336</c:v>
                </c:pt>
                <c:pt idx="9">
                  <c:v>85.873888888888885</c:v>
                </c:pt>
                <c:pt idx="10">
                  <c:v>85.384694444444449</c:v>
                </c:pt>
                <c:pt idx="11">
                  <c:v>84.895499999999998</c:v>
                </c:pt>
              </c:numCache>
            </c:numRef>
          </c:val>
          <c:smooth val="0"/>
          <c:extLst>
            <c:ext xmlns:c16="http://schemas.microsoft.com/office/drawing/2014/chart" uri="{C3380CC4-5D6E-409C-BE32-E72D297353CC}">
              <c16:uniqueId val="{00000001-8703-43A7-A39E-365DFB729322}"/>
            </c:ext>
          </c:extLst>
        </c:ser>
        <c:ser>
          <c:idx val="2"/>
          <c:order val="2"/>
          <c:tx>
            <c:strRef>
              <c:f>Proposals!$B$63</c:f>
              <c:strCache>
                <c:ptCount val="1"/>
                <c:pt idx="0">
                  <c:v>NZF as-is</c:v>
                </c:pt>
              </c:strCache>
            </c:strRef>
          </c:tx>
          <c:spPr>
            <a:ln w="28575" cap="rnd">
              <a:solidFill>
                <a:schemeClr val="accent2">
                  <a:lumMod val="40000"/>
                  <a:lumOff val="60000"/>
                </a:schemeClr>
              </a:solidFill>
              <a:prstDash val="sysDot"/>
              <a:round/>
            </a:ln>
          </c:spPr>
          <c:marker>
            <c:symbol val="circle"/>
            <c:size val="5"/>
            <c:spPr>
              <a:solidFill>
                <a:schemeClr val="accent2">
                  <a:lumMod val="40000"/>
                  <a:lumOff val="60000"/>
                </a:schemeClr>
              </a:solidFill>
              <a:ln w="9525">
                <a:solidFill>
                  <a:schemeClr val="accent2">
                    <a:lumMod val="40000"/>
                    <a:lumOff val="60000"/>
                  </a:schemeClr>
                </a:solidFill>
                <a:prstDash val="sysDot"/>
              </a:ln>
            </c:spPr>
          </c:marker>
          <c:dLbls>
            <c:delete val="1"/>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Proposals!$C$63:$N$63</c:f>
              <c:numCache>
                <c:formatCode>#,##0.0;[Red]\-#,##0.0</c:formatCode>
                <c:ptCount val="12"/>
                <c:pt idx="0">
                  <c:v>75.573000000000008</c:v>
                </c:pt>
                <c:pt idx="1">
                  <c:v>73.707000000000008</c:v>
                </c:pt>
                <c:pt idx="2">
                  <c:v>69.601799999999997</c:v>
                </c:pt>
                <c:pt idx="3">
                  <c:v>65.496600000000001</c:v>
                </c:pt>
                <c:pt idx="4">
                  <c:v>61.39139999999999</c:v>
                </c:pt>
                <c:pt idx="5">
                  <c:v>57.286199999999994</c:v>
                </c:pt>
                <c:pt idx="6">
                  <c:v>53.181000000000004</c:v>
                </c:pt>
                <c:pt idx="7">
                  <c:v>46.65</c:v>
                </c:pt>
                <c:pt idx="8">
                  <c:v>40.119000000000007</c:v>
                </c:pt>
                <c:pt idx="9">
                  <c:v>33.588000000000001</c:v>
                </c:pt>
                <c:pt idx="10">
                  <c:v>27.057000000000002</c:v>
                </c:pt>
                <c:pt idx="11">
                  <c:v>20.525999999999996</c:v>
                </c:pt>
              </c:numCache>
            </c:numRef>
          </c:val>
          <c:smooth val="0"/>
          <c:extLst>
            <c:ext xmlns:c16="http://schemas.microsoft.com/office/drawing/2014/chart" uri="{C3380CC4-5D6E-409C-BE32-E72D297353CC}">
              <c16:uniqueId val="{00000002-8703-43A7-A39E-365DFB729322}"/>
            </c:ext>
          </c:extLst>
        </c:ser>
        <c:ser>
          <c:idx val="3"/>
          <c:order val="3"/>
          <c:tx>
            <c:strRef>
              <c:f>Proposals!$B$63</c:f>
              <c:strCache>
                <c:ptCount val="1"/>
                <c:pt idx="0">
                  <c:v>NZF as-is</c:v>
                </c:pt>
              </c:strCache>
            </c:strRef>
          </c:tx>
          <c:spPr>
            <a:ln w="28575" cap="rnd">
              <a:solidFill>
                <a:schemeClr val="accent2"/>
              </a:solidFill>
              <a:prstDash val="solid"/>
              <a:round/>
            </a:ln>
          </c:spPr>
          <c:marker>
            <c:symbol val="circle"/>
            <c:size val="5"/>
            <c:spPr>
              <a:solidFill>
                <a:schemeClr val="accent2"/>
              </a:solidFill>
              <a:ln w="9525">
                <a:solidFill>
                  <a:schemeClr val="accent2"/>
                </a:solidFill>
                <a:prstDash val="solid"/>
              </a:ln>
            </c:spPr>
          </c:marker>
          <c:dLbls>
            <c:delete val="1"/>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Proposals!$C$66:$N$66</c:f>
              <c:numCache>
                <c:formatCode>#,##0.0;[Red]\-#,##0.0</c:formatCode>
                <c:ptCount val="12"/>
                <c:pt idx="0">
                  <c:v>90.276638888888883</c:v>
                </c:pt>
                <c:pt idx="1">
                  <c:v>89.787444444444446</c:v>
                </c:pt>
                <c:pt idx="2">
                  <c:v>89.298249999999996</c:v>
                </c:pt>
                <c:pt idx="3">
                  <c:v>88.80905555555556</c:v>
                </c:pt>
                <c:pt idx="4">
                  <c:v>88.319861111111109</c:v>
                </c:pt>
                <c:pt idx="5">
                  <c:v>87.830666666666673</c:v>
                </c:pt>
                <c:pt idx="6">
                  <c:v>87.341472222222222</c:v>
                </c:pt>
                <c:pt idx="7">
                  <c:v>86.852277777777772</c:v>
                </c:pt>
                <c:pt idx="8">
                  <c:v>86.363083333333336</c:v>
                </c:pt>
                <c:pt idx="9">
                  <c:v>85.873888888888885</c:v>
                </c:pt>
                <c:pt idx="10">
                  <c:v>85.384694444444449</c:v>
                </c:pt>
                <c:pt idx="11">
                  <c:v>84.895499999999998</c:v>
                </c:pt>
              </c:numCache>
            </c:numRef>
          </c:val>
          <c:smooth val="0"/>
          <c:extLst>
            <c:ext xmlns:c16="http://schemas.microsoft.com/office/drawing/2014/chart" uri="{C3380CC4-5D6E-409C-BE32-E72D297353CC}">
              <c16:uniqueId val="{00000003-8703-43A7-A39E-365DFB729322}"/>
            </c:ext>
          </c:extLst>
        </c:ser>
        <c:dLbls>
          <c:dLblPos val="b"/>
          <c:showLegendKey val="0"/>
          <c:showVal val="1"/>
          <c:showCatName val="0"/>
          <c:showSerName val="0"/>
          <c:showPercent val="0"/>
          <c:showBubbleSize val="0"/>
        </c:dLbls>
        <c:marker val="1"/>
        <c:smooth val="0"/>
        <c:axId val="1095689295"/>
        <c:axId val="1095679695"/>
      </c:lineChart>
      <c:catAx>
        <c:axId val="1095689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ja-JP" sz="900" b="0" i="0" strike="noStrike" kern="1200" baseline="0">
                <a:solidFill>
                  <a:schemeClr val="tx1">
                    <a:lumMod val="65000"/>
                    <a:lumOff val="35000"/>
                  </a:schemeClr>
                </a:solidFill>
                <a:latin typeface="+mn-lt"/>
                <a:ea typeface="+mn-ea"/>
                <a:cs typeface="+mn-cs"/>
              </a:defRPr>
            </a:pPr>
            <a:endParaRPr lang="ja-JP"/>
          </a:p>
        </c:txPr>
        <c:crossAx val="1095679695"/>
        <c:crosses val="autoZero"/>
        <c:auto val="1"/>
        <c:lblAlgn val="ctr"/>
        <c:lblOffset val="100"/>
        <c:noMultiLvlLbl val="0"/>
      </c:catAx>
      <c:valAx>
        <c:axId val="1095679695"/>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Red]\-#,##0.0" sourceLinked="1"/>
        <c:majorTickMark val="none"/>
        <c:minorTickMark val="none"/>
        <c:tickLblPos val="nextTo"/>
        <c:spPr>
          <a:noFill/>
          <a:ln>
            <a:noFill/>
            <a:prstDash val="solid"/>
          </a:ln>
        </c:spPr>
        <c:txPr>
          <a:bodyPr rot="-60000000" spcFirstLastPara="1" vertOverflow="ellipsis" vert="horz" wrap="square" anchor="ctr" anchorCtr="1"/>
          <a:lstStyle/>
          <a:p>
            <a:pPr>
              <a:defRPr lang="ja-JP" sz="900" b="0" i="0" strike="noStrike" kern="1200" baseline="0">
                <a:solidFill>
                  <a:schemeClr val="tx1">
                    <a:lumMod val="65000"/>
                    <a:lumOff val="35000"/>
                  </a:schemeClr>
                </a:solidFill>
                <a:latin typeface="+mn-lt"/>
                <a:ea typeface="+mn-ea"/>
                <a:cs typeface="+mn-cs"/>
              </a:defRPr>
            </a:pPr>
            <a:endParaRPr lang="ja-JP"/>
          </a:p>
        </c:txPr>
        <c:crossAx val="1095689295"/>
        <c:crosses val="autoZero"/>
        <c:crossBetween val="between"/>
      </c:valAx>
    </c:plotArea>
    <c:plotVisOnly val="0"/>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0" i="0" strike="noStrike" kern="1200" spc="0" baseline="0">
                <a:solidFill>
                  <a:schemeClr val="tx1">
                    <a:lumMod val="65000"/>
                    <a:lumOff val="35000"/>
                  </a:schemeClr>
                </a:solidFill>
                <a:latin typeface="+mn-lt"/>
                <a:ea typeface="+mn-ea"/>
                <a:cs typeface="+mn-cs"/>
              </a:defRPr>
            </a:pPr>
            <a:r>
              <a:rPr lang="en-US" altLang="ja-JP" b="1">
                <a:solidFill>
                  <a:schemeClr val="tx1">
                    <a:lumMod val="85000"/>
                    <a:lumOff val="15000"/>
                  </a:schemeClr>
                </a:solidFill>
                <a:latin typeface="Arial" panose="020B0604020202020204" pitchFamily="34" charset="0"/>
                <a:cs typeface="Arial" panose="020B0604020202020204" pitchFamily="34" charset="0"/>
              </a:rPr>
              <a:t>NZF Softer Start </a:t>
            </a:r>
          </a:p>
          <a:p>
            <a:pPr>
              <a:defRPr lang="ja-JP" sz="1400" b="0" i="0" strike="noStrike" kern="1200" spc="0" baseline="0">
                <a:solidFill>
                  <a:schemeClr val="tx1">
                    <a:lumMod val="65000"/>
                    <a:lumOff val="35000"/>
                  </a:schemeClr>
                </a:solidFill>
                <a:latin typeface="+mn-lt"/>
                <a:ea typeface="+mn-ea"/>
                <a:cs typeface="+mn-cs"/>
              </a:defRPr>
            </a:pPr>
            <a:r>
              <a:rPr lang="en-US" altLang="ja-JP" baseline="0">
                <a:solidFill>
                  <a:schemeClr val="tx1">
                    <a:lumMod val="85000"/>
                    <a:lumOff val="15000"/>
                  </a:schemeClr>
                </a:solidFill>
                <a:latin typeface="Arial" panose="020B0604020202020204" pitchFamily="34" charset="0"/>
                <a:cs typeface="Arial" panose="020B0604020202020204" pitchFamily="34" charset="0"/>
              </a:rPr>
              <a:t>vs As-Is (dashed)</a:t>
            </a:r>
            <a:endParaRPr lang="ja-JP" altLang="en-US">
              <a:solidFill>
                <a:schemeClr val="tx1">
                  <a:lumMod val="85000"/>
                  <a:lumOff val="15000"/>
                </a:schemeClr>
              </a:solidFill>
              <a:latin typeface="Arial" panose="020B0604020202020204" pitchFamily="34" charset="0"/>
              <a:cs typeface="Arial" panose="020B0604020202020204" pitchFamily="34" charset="0"/>
            </a:endParaRPr>
          </a:p>
        </c:rich>
      </c:tx>
      <c:overlay val="0"/>
      <c:spPr>
        <a:noFill/>
        <a:ln>
          <a:noFill/>
          <a:prstDash val="solid"/>
        </a:ln>
      </c:spPr>
    </c:title>
    <c:autoTitleDeleted val="0"/>
    <c:plotArea>
      <c:layout/>
      <c:lineChart>
        <c:grouping val="standard"/>
        <c:varyColors val="0"/>
        <c:ser>
          <c:idx val="0"/>
          <c:order val="0"/>
          <c:tx>
            <c:strRef>
              <c:f>Proposals!$B$55</c:f>
              <c:strCache>
                <c:ptCount val="1"/>
                <c:pt idx="0">
                  <c:v>NZF as-is</c:v>
                </c:pt>
              </c:strCache>
            </c:strRef>
          </c:tx>
          <c:spPr>
            <a:ln w="28575" cap="rnd">
              <a:solidFill>
                <a:srgbClr val="FF0000"/>
              </a:solidFill>
              <a:prstDash val="sysDot"/>
              <a:round/>
            </a:ln>
          </c:spPr>
          <c:marker>
            <c:symbol val="circle"/>
            <c:size val="5"/>
            <c:spPr>
              <a:solidFill>
                <a:srgbClr val="FF0000"/>
              </a:solidFill>
              <a:ln w="9525">
                <a:solidFill>
                  <a:srgbClr val="FF0000"/>
                </a:solidFill>
                <a:prstDash val="sysDot"/>
              </a:ln>
            </c:spPr>
          </c:marker>
          <c:dLbls>
            <c:delete val="1"/>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Proposals!$C$55:$N$55</c:f>
              <c:numCache>
                <c:formatCode>#,##0.0;[Red]\-#,##0.0</c:formatCode>
                <c:ptCount val="12"/>
                <c:pt idx="0">
                  <c:v>87.701999999999998</c:v>
                </c:pt>
                <c:pt idx="1">
                  <c:v>85.835999999999999</c:v>
                </c:pt>
                <c:pt idx="2">
                  <c:v>81.730800000000002</c:v>
                </c:pt>
                <c:pt idx="3">
                  <c:v>77.625599999999991</c:v>
                </c:pt>
                <c:pt idx="4">
                  <c:v>73.520399999999995</c:v>
                </c:pt>
                <c:pt idx="5">
                  <c:v>69.415199999999999</c:v>
                </c:pt>
                <c:pt idx="6">
                  <c:v>65.309999999999988</c:v>
                </c:pt>
                <c:pt idx="7">
                  <c:v>58.778999999999996</c:v>
                </c:pt>
                <c:pt idx="8">
                  <c:v>52.248000000000005</c:v>
                </c:pt>
                <c:pt idx="9">
                  <c:v>45.716999999999999</c:v>
                </c:pt>
                <c:pt idx="10">
                  <c:v>39.186</c:v>
                </c:pt>
                <c:pt idx="11">
                  <c:v>32.654999999999994</c:v>
                </c:pt>
              </c:numCache>
            </c:numRef>
          </c:val>
          <c:smooth val="0"/>
          <c:extLst>
            <c:ext xmlns:c16="http://schemas.microsoft.com/office/drawing/2014/chart" uri="{C3380CC4-5D6E-409C-BE32-E72D297353CC}">
              <c16:uniqueId val="{00000000-688B-4E83-97DA-92596E3FBB81}"/>
            </c:ext>
          </c:extLst>
        </c:ser>
        <c:ser>
          <c:idx val="1"/>
          <c:order val="1"/>
          <c:tx>
            <c:strRef>
              <c:f>Proposals!$B$56</c:f>
              <c:strCache>
                <c:ptCount val="1"/>
                <c:pt idx="0">
                  <c:v>NZF Softer Start</c:v>
                </c:pt>
              </c:strCache>
            </c:strRef>
          </c:tx>
          <c:spPr>
            <a:ln w="28575" cap="rnd">
              <a:solidFill>
                <a:srgbClr val="FF0000"/>
              </a:solidFill>
              <a:prstDash val="solid"/>
              <a:round/>
            </a:ln>
          </c:spPr>
          <c:marker>
            <c:symbol val="circle"/>
            <c:size val="5"/>
            <c:spPr>
              <a:solidFill>
                <a:srgbClr val="FF0000"/>
              </a:solidFill>
              <a:ln w="9525">
                <a:solidFill>
                  <a:srgbClr val="FF0000"/>
                </a:solidFill>
                <a:prstDash val="solid"/>
              </a:ln>
            </c:spPr>
          </c:marker>
          <c:dLbls>
            <c:spPr>
              <a:noFill/>
              <a:ln>
                <a:noFill/>
                <a:prstDash val="solid"/>
              </a:ln>
            </c:spPr>
            <c:txPr>
              <a:bodyPr rot="0" spcFirstLastPara="1" vertOverflow="ellipsis" vert="horz" wrap="square" lIns="38100" tIns="19050" rIns="38100" bIns="19050" anchor="ctr" anchorCtr="1">
                <a:spAutoFit/>
              </a:bodyPr>
              <a:lstStyle/>
              <a:p>
                <a:pPr>
                  <a:defRPr lang="ja-JP" sz="900" b="0" i="0" strike="noStrike" kern="1200" baseline="0">
                    <a:solidFill>
                      <a:schemeClr val="tx1">
                        <a:lumMod val="75000"/>
                        <a:lumOff val="25000"/>
                      </a:schemeClr>
                    </a:solidFill>
                    <a:latin typeface="+mn-lt"/>
                    <a:ea typeface="+mn-ea"/>
                    <a:cs typeface="+mn-cs"/>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Proposals!$C$56:$N$56</c:f>
              <c:numCache>
                <c:formatCode>#,##0.0;[Red]\-#,##0.0</c:formatCode>
                <c:ptCount val="12"/>
                <c:pt idx="0">
                  <c:v>90.500999999999991</c:v>
                </c:pt>
                <c:pt idx="1">
                  <c:v>89.567999999999998</c:v>
                </c:pt>
                <c:pt idx="2">
                  <c:v>87.701999999999998</c:v>
                </c:pt>
                <c:pt idx="3">
                  <c:v>85.835999999999999</c:v>
                </c:pt>
                <c:pt idx="4">
                  <c:v>81.730800000000002</c:v>
                </c:pt>
                <c:pt idx="5">
                  <c:v>77.625599999999991</c:v>
                </c:pt>
                <c:pt idx="6">
                  <c:v>73.520399999999995</c:v>
                </c:pt>
                <c:pt idx="7">
                  <c:v>69.415199999999999</c:v>
                </c:pt>
                <c:pt idx="8">
                  <c:v>61.130159999999997</c:v>
                </c:pt>
                <c:pt idx="9">
                  <c:v>52.845120000000001</c:v>
                </c:pt>
                <c:pt idx="10">
                  <c:v>44.560079999999999</c:v>
                </c:pt>
                <c:pt idx="11">
                  <c:v>36.275040000000004</c:v>
                </c:pt>
              </c:numCache>
            </c:numRef>
          </c:val>
          <c:smooth val="0"/>
          <c:extLst>
            <c:ext xmlns:c16="http://schemas.microsoft.com/office/drawing/2014/chart" uri="{C3380CC4-5D6E-409C-BE32-E72D297353CC}">
              <c16:uniqueId val="{00000001-688B-4E83-97DA-92596E3FBB81}"/>
            </c:ext>
          </c:extLst>
        </c:ser>
        <c:ser>
          <c:idx val="2"/>
          <c:order val="2"/>
          <c:tx>
            <c:strRef>
              <c:f>Proposals!$B$63</c:f>
              <c:strCache>
                <c:ptCount val="1"/>
                <c:pt idx="0">
                  <c:v>NZF as-is</c:v>
                </c:pt>
              </c:strCache>
            </c:strRef>
          </c:tx>
          <c:spPr>
            <a:ln w="28575" cap="rnd">
              <a:solidFill>
                <a:schemeClr val="accent2">
                  <a:lumMod val="40000"/>
                  <a:lumOff val="60000"/>
                </a:schemeClr>
              </a:solidFill>
              <a:prstDash val="sysDot"/>
              <a:round/>
            </a:ln>
          </c:spPr>
          <c:marker>
            <c:symbol val="circle"/>
            <c:size val="5"/>
            <c:spPr>
              <a:solidFill>
                <a:schemeClr val="accent2">
                  <a:lumMod val="40000"/>
                  <a:lumOff val="60000"/>
                </a:schemeClr>
              </a:solidFill>
              <a:ln w="9525">
                <a:solidFill>
                  <a:schemeClr val="accent2">
                    <a:lumMod val="40000"/>
                    <a:lumOff val="60000"/>
                  </a:schemeClr>
                </a:solidFill>
                <a:prstDash val="sysDot"/>
              </a:ln>
            </c:spPr>
          </c:marker>
          <c:dLbls>
            <c:delete val="1"/>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Proposals!$C$63:$N$63</c:f>
              <c:numCache>
                <c:formatCode>#,##0.0;[Red]\-#,##0.0</c:formatCode>
                <c:ptCount val="12"/>
                <c:pt idx="0">
                  <c:v>75.573000000000008</c:v>
                </c:pt>
                <c:pt idx="1">
                  <c:v>73.707000000000008</c:v>
                </c:pt>
                <c:pt idx="2">
                  <c:v>69.601799999999997</c:v>
                </c:pt>
                <c:pt idx="3">
                  <c:v>65.496600000000001</c:v>
                </c:pt>
                <c:pt idx="4">
                  <c:v>61.39139999999999</c:v>
                </c:pt>
                <c:pt idx="5">
                  <c:v>57.286199999999994</c:v>
                </c:pt>
                <c:pt idx="6">
                  <c:v>53.181000000000004</c:v>
                </c:pt>
                <c:pt idx="7">
                  <c:v>46.65</c:v>
                </c:pt>
                <c:pt idx="8">
                  <c:v>40.119000000000007</c:v>
                </c:pt>
                <c:pt idx="9">
                  <c:v>33.588000000000001</c:v>
                </c:pt>
                <c:pt idx="10">
                  <c:v>27.057000000000002</c:v>
                </c:pt>
                <c:pt idx="11">
                  <c:v>20.525999999999996</c:v>
                </c:pt>
              </c:numCache>
            </c:numRef>
          </c:val>
          <c:smooth val="0"/>
          <c:extLst>
            <c:ext xmlns:c16="http://schemas.microsoft.com/office/drawing/2014/chart" uri="{C3380CC4-5D6E-409C-BE32-E72D297353CC}">
              <c16:uniqueId val="{00000002-688B-4E83-97DA-92596E3FBB81}"/>
            </c:ext>
          </c:extLst>
        </c:ser>
        <c:ser>
          <c:idx val="3"/>
          <c:order val="3"/>
          <c:tx>
            <c:strRef>
              <c:f>Proposals!$B$64</c:f>
              <c:strCache>
                <c:ptCount val="1"/>
                <c:pt idx="0">
                  <c:v>NZF Softer Start</c:v>
                </c:pt>
              </c:strCache>
            </c:strRef>
          </c:tx>
          <c:spPr>
            <a:ln w="28575" cap="rnd">
              <a:solidFill>
                <a:schemeClr val="accent2"/>
              </a:solidFill>
              <a:prstDash val="solid"/>
              <a:round/>
            </a:ln>
          </c:spPr>
          <c:marker>
            <c:symbol val="circle"/>
            <c:size val="5"/>
            <c:spPr>
              <a:solidFill>
                <a:schemeClr val="accent2"/>
              </a:solidFill>
              <a:ln w="9525">
                <a:solidFill>
                  <a:schemeClr val="accent2"/>
                </a:solidFill>
                <a:prstDash val="solid"/>
              </a:ln>
            </c:spPr>
          </c:marker>
          <c:dLbls>
            <c:spPr>
              <a:noFill/>
              <a:ln>
                <a:noFill/>
                <a:prstDash val="solid"/>
              </a:ln>
            </c:spPr>
            <c:txPr>
              <a:bodyPr rot="0" spcFirstLastPara="1" vertOverflow="ellipsis" vert="horz" wrap="square" lIns="38100" tIns="19050" rIns="38100" bIns="19050" anchor="ctr" anchorCtr="1">
                <a:spAutoFit/>
              </a:bodyPr>
              <a:lstStyle/>
              <a:p>
                <a:pPr>
                  <a:defRPr lang="ja-JP" sz="900" b="0" i="0" strike="noStrike" kern="1200" baseline="0">
                    <a:solidFill>
                      <a:schemeClr val="tx1">
                        <a:lumMod val="75000"/>
                        <a:lumOff val="25000"/>
                      </a:schemeClr>
                    </a:solidFill>
                    <a:latin typeface="+mn-lt"/>
                    <a:ea typeface="+mn-ea"/>
                    <a:cs typeface="+mn-cs"/>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Proposals!$C$53:$N$53</c:f>
              <c:numCache>
                <c:formatCode>General</c:formatCode>
                <c:ptCount val="12"/>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Proposals!$C$64:$N$64</c:f>
              <c:numCache>
                <c:formatCode>#,##0.0;[Red]\-#,##0.0</c:formatCode>
                <c:ptCount val="12"/>
                <c:pt idx="0">
                  <c:v>90.500999999999991</c:v>
                </c:pt>
                <c:pt idx="1">
                  <c:v>89.567999999999998</c:v>
                </c:pt>
                <c:pt idx="2">
                  <c:v>75.573000000000008</c:v>
                </c:pt>
                <c:pt idx="3">
                  <c:v>73.707000000000008</c:v>
                </c:pt>
                <c:pt idx="4">
                  <c:v>69.601799999999997</c:v>
                </c:pt>
                <c:pt idx="5">
                  <c:v>65.496600000000001</c:v>
                </c:pt>
                <c:pt idx="6">
                  <c:v>61.39139999999999</c:v>
                </c:pt>
                <c:pt idx="7">
                  <c:v>57.286199999999994</c:v>
                </c:pt>
                <c:pt idx="8">
                  <c:v>49.001159999999999</c:v>
                </c:pt>
                <c:pt idx="9">
                  <c:v>40.716119999999997</c:v>
                </c:pt>
                <c:pt idx="10">
                  <c:v>32.431080000000001</c:v>
                </c:pt>
                <c:pt idx="11">
                  <c:v>24.146040000000003</c:v>
                </c:pt>
              </c:numCache>
            </c:numRef>
          </c:val>
          <c:smooth val="0"/>
          <c:extLst>
            <c:ext xmlns:c16="http://schemas.microsoft.com/office/drawing/2014/chart" uri="{C3380CC4-5D6E-409C-BE32-E72D297353CC}">
              <c16:uniqueId val="{00000003-688B-4E83-97DA-92596E3FBB81}"/>
            </c:ext>
          </c:extLst>
        </c:ser>
        <c:dLbls>
          <c:dLblPos val="b"/>
          <c:showLegendKey val="0"/>
          <c:showVal val="1"/>
          <c:showCatName val="0"/>
          <c:showSerName val="0"/>
          <c:showPercent val="0"/>
          <c:showBubbleSize val="0"/>
        </c:dLbls>
        <c:marker val="1"/>
        <c:smooth val="0"/>
        <c:axId val="1095689295"/>
        <c:axId val="1095679695"/>
      </c:lineChart>
      <c:catAx>
        <c:axId val="1095689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lang="ja-JP" sz="900" b="0" i="0" strike="noStrike" kern="1200" baseline="0">
                <a:solidFill>
                  <a:schemeClr val="tx1">
                    <a:lumMod val="65000"/>
                    <a:lumOff val="35000"/>
                  </a:schemeClr>
                </a:solidFill>
                <a:latin typeface="+mn-lt"/>
                <a:ea typeface="+mn-ea"/>
                <a:cs typeface="+mn-cs"/>
              </a:defRPr>
            </a:pPr>
            <a:endParaRPr lang="ja-JP"/>
          </a:p>
        </c:txPr>
        <c:crossAx val="1095679695"/>
        <c:crosses val="autoZero"/>
        <c:auto val="1"/>
        <c:lblAlgn val="ctr"/>
        <c:lblOffset val="100"/>
        <c:noMultiLvlLbl val="0"/>
      </c:catAx>
      <c:valAx>
        <c:axId val="1095679695"/>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Red]\-#,##0.0" sourceLinked="1"/>
        <c:majorTickMark val="none"/>
        <c:minorTickMark val="none"/>
        <c:tickLblPos val="nextTo"/>
        <c:spPr>
          <a:noFill/>
          <a:ln>
            <a:noFill/>
            <a:prstDash val="solid"/>
          </a:ln>
        </c:spPr>
        <c:txPr>
          <a:bodyPr rot="-60000000" spcFirstLastPara="1" vertOverflow="ellipsis" vert="horz" wrap="square" anchor="ctr" anchorCtr="1"/>
          <a:lstStyle/>
          <a:p>
            <a:pPr>
              <a:defRPr lang="ja-JP" sz="900" b="0" i="0" strike="noStrike" kern="1200" baseline="0">
                <a:solidFill>
                  <a:schemeClr val="tx1">
                    <a:lumMod val="65000"/>
                    <a:lumOff val="35000"/>
                  </a:schemeClr>
                </a:solidFill>
                <a:latin typeface="+mn-lt"/>
                <a:ea typeface="+mn-ea"/>
                <a:cs typeface="+mn-cs"/>
              </a:defRPr>
            </a:pPr>
            <a:endParaRPr lang="ja-JP"/>
          </a:p>
        </c:txPr>
        <c:crossAx val="1095689295"/>
        <c:crosses val="autoZero"/>
        <c:crossBetween val="between"/>
      </c:valAx>
    </c:plotArea>
    <c:plotVisOnly val="0"/>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lang="en-US" sz="1400" b="1" strike="noStrike" spc="-1">
                <a:solidFill>
                  <a:srgbClr val="595959"/>
                </a:solidFill>
                <a:latin typeface="Calibri Light"/>
              </a:defRPr>
            </a:pPr>
            <a:r>
              <a:rPr lang="en-US" sz="1400" b="1" strike="noStrike" spc="-1">
                <a:solidFill>
                  <a:srgbClr val="595959"/>
                </a:solidFill>
                <a:latin typeface="Calibri Light"/>
              </a:rPr>
              <a:t>As-Is, </a:t>
            </a:r>
            <a:r>
              <a:rPr lang="en-GB" sz="1400" b="1" i="0" u="none" strike="noStrike" baseline="0"/>
              <a:t>CL.5216 - Australia et al.</a:t>
            </a:r>
            <a:r>
              <a:rPr lang="en-US" sz="1400" b="1" strike="noStrike" spc="-1" baseline="0">
                <a:solidFill>
                  <a:srgbClr val="595959"/>
                </a:solidFill>
                <a:latin typeface="Calibri Light"/>
              </a:rPr>
              <a:t> </a:t>
            </a:r>
            <a:r>
              <a:rPr lang="en-US" sz="1400" b="1" strike="noStrike" spc="-1">
                <a:solidFill>
                  <a:srgbClr val="595959"/>
                </a:solidFill>
                <a:latin typeface="Calibri Light"/>
              </a:rPr>
              <a:t> [USD/tVLSFOeq] </a:t>
            </a:r>
          </a:p>
        </c:rich>
      </c:tx>
      <c:layout>
        <c:manualLayout>
          <c:xMode val="edge"/>
          <c:yMode val="edge"/>
          <c:x val="0.19056697530864197"/>
          <c:y val="1.6588272622447164E-2"/>
        </c:manualLayout>
      </c:layout>
      <c:overlay val="0"/>
      <c:spPr>
        <a:noFill/>
        <a:ln w="0">
          <a:noFill/>
          <a:prstDash val="solid"/>
        </a:ln>
      </c:spPr>
    </c:title>
    <c:autoTitleDeleted val="0"/>
    <c:plotArea>
      <c:layout>
        <c:manualLayout>
          <c:layoutTarget val="inner"/>
          <c:xMode val="edge"/>
          <c:yMode val="edge"/>
          <c:x val="6.7809888579387204E-2"/>
          <c:y val="0.118692408951294"/>
          <c:w val="0.90076601671309198"/>
          <c:h val="0.78066037735849103"/>
        </c:manualLayout>
      </c:layout>
      <c:lineChart>
        <c:grouping val="standard"/>
        <c:varyColors val="0"/>
        <c:ser>
          <c:idx val="0"/>
          <c:order val="0"/>
          <c:tx>
            <c:strRef>
              <c:f>Overview!$B$53</c:f>
              <c:strCache>
                <c:ptCount val="1"/>
                <c:pt idx="0">
                  <c:v>Strategy 1: VLSFO + bio-diesel (base case)</c:v>
                </c:pt>
              </c:strCache>
            </c:strRef>
          </c:tx>
          <c:spPr>
            <a:ln w="38160" cap="rnd">
              <a:solidFill>
                <a:srgbClr val="595959"/>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Proposals!$C$70:$N$70</c:f>
              <c:numCache>
                <c:formatCode>#,##0_);[Red]\(#,##0\)</c:formatCode>
                <c:ptCount val="12"/>
                <c:pt idx="0">
                  <c:v>721.47255867269041</c:v>
                </c:pt>
                <c:pt idx="1">
                  <c:v>732.61886276990185</c:v>
                </c:pt>
                <c:pt idx="2">
                  <c:v>769.39675714285715</c:v>
                </c:pt>
                <c:pt idx="3">
                  <c:v>808.61852139585619</c:v>
                </c:pt>
                <c:pt idx="4">
                  <c:v>851.51743731733927</c:v>
                </c:pt>
                <c:pt idx="5">
                  <c:v>895.85749509269363</c:v>
                </c:pt>
                <c:pt idx="6">
                  <c:v>942.6414227480916</c:v>
                </c:pt>
                <c:pt idx="7">
                  <c:v>1018.8167632061071</c:v>
                </c:pt>
                <c:pt idx="8">
                  <c:v>1098.8800784732823</c:v>
                </c:pt>
                <c:pt idx="9">
                  <c:v>1185.6261280916031</c:v>
                </c:pt>
                <c:pt idx="10">
                  <c:v>1273.8321830534351</c:v>
                </c:pt>
                <c:pt idx="11">
                  <c:v>1365.9262128244275</c:v>
                </c:pt>
              </c:numCache>
            </c:numRef>
          </c:val>
          <c:smooth val="0"/>
          <c:extLst>
            <c:ext xmlns:c16="http://schemas.microsoft.com/office/drawing/2014/chart" uri="{C3380CC4-5D6E-409C-BE32-E72D297353CC}">
              <c16:uniqueId val="{00000000-613C-453D-BFF6-D9C4DC878559}"/>
            </c:ext>
          </c:extLst>
        </c:ser>
        <c:ser>
          <c:idx val="1"/>
          <c:order val="1"/>
          <c:tx>
            <c:strRef>
              <c:f>Overview!$B$54</c:f>
              <c:strCache>
                <c:ptCount val="1"/>
                <c:pt idx="0">
                  <c:v>Strategy 2: LNG + bio-methane</c:v>
                </c:pt>
              </c:strCache>
            </c:strRef>
          </c:tx>
          <c:spPr>
            <a:ln w="38160" cap="rnd">
              <a:solidFill>
                <a:srgbClr val="A6A6A6"/>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Proposals!$C$76:$N$76</c:f>
              <c:numCache>
                <c:formatCode>#,##0_);[Red]\(#,##0\)</c:formatCode>
                <c:ptCount val="12"/>
                <c:pt idx="0">
                  <c:v>491.58604000000003</c:v>
                </c:pt>
                <c:pt idx="1">
                  <c:v>466.31395999999995</c:v>
                </c:pt>
                <c:pt idx="2">
                  <c:v>497.27342419872605</c:v>
                </c:pt>
                <c:pt idx="3">
                  <c:v>542.52789619567125</c:v>
                </c:pt>
                <c:pt idx="4">
                  <c:v>590.11499694193049</c:v>
                </c:pt>
                <c:pt idx="5">
                  <c:v>639.89412472649394</c:v>
                </c:pt>
                <c:pt idx="6">
                  <c:v>691.86527954936162</c:v>
                </c:pt>
                <c:pt idx="7">
                  <c:v>773.71104990079391</c:v>
                </c:pt>
                <c:pt idx="8">
                  <c:v>860.25401918809223</c:v>
                </c:pt>
                <c:pt idx="9">
                  <c:v>950.28430421814744</c:v>
                </c:pt>
                <c:pt idx="10">
                  <c:v>1040.8908921672369</c:v>
                </c:pt>
                <c:pt idx="11">
                  <c:v>1137.4705262751525</c:v>
                </c:pt>
              </c:numCache>
            </c:numRef>
          </c:val>
          <c:smooth val="0"/>
          <c:extLst>
            <c:ext xmlns:c16="http://schemas.microsoft.com/office/drawing/2014/chart" uri="{C3380CC4-5D6E-409C-BE32-E72D297353CC}">
              <c16:uniqueId val="{00000001-613C-453D-BFF6-D9C4DC878559}"/>
            </c:ext>
          </c:extLst>
        </c:ser>
        <c:ser>
          <c:idx val="2"/>
          <c:order val="2"/>
          <c:tx>
            <c:strRef>
              <c:f>Overview!$B$55</c:f>
              <c:strCache>
                <c:ptCount val="1"/>
                <c:pt idx="0">
                  <c:v>Strategy 3: VLSFO + ZNZ</c:v>
                </c:pt>
              </c:strCache>
            </c:strRef>
          </c:tx>
          <c:spPr>
            <a:ln w="38160" cap="rnd">
              <a:solidFill>
                <a:srgbClr val="5E948A"/>
              </a:solidFill>
              <a:prstDash val="sysDash"/>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Proposals!$C$82:$N$82</c:f>
              <c:numCache>
                <c:formatCode>#,##0_);[Red]\(#,##0\)</c:formatCode>
                <c:ptCount val="12"/>
                <c:pt idx="0">
                  <c:v>773.85241942857147</c:v>
                </c:pt>
                <c:pt idx="1">
                  <c:v>794.23794399999997</c:v>
                </c:pt>
                <c:pt idx="2">
                  <c:v>853.15295520000006</c:v>
                </c:pt>
                <c:pt idx="3">
                  <c:v>912.06796640000016</c:v>
                </c:pt>
                <c:pt idx="4">
                  <c:v>970.98297760000014</c:v>
                </c:pt>
                <c:pt idx="5">
                  <c:v>1029.8979888000001</c:v>
                </c:pt>
                <c:pt idx="6">
                  <c:v>1048.8837085223367</c:v>
                </c:pt>
                <c:pt idx="7">
                  <c:v>1125.3492803436429</c:v>
                </c:pt>
                <c:pt idx="8">
                  <c:v>1197.6208408247423</c:v>
                </c:pt>
                <c:pt idx="9">
                  <c:v>1265.6983899656354</c:v>
                </c:pt>
                <c:pt idx="10">
                  <c:v>1329.5819277663227</c:v>
                </c:pt>
                <c:pt idx="11">
                  <c:v>1389.2714542268041</c:v>
                </c:pt>
              </c:numCache>
            </c:numRef>
          </c:val>
          <c:smooth val="0"/>
          <c:extLst>
            <c:ext xmlns:c16="http://schemas.microsoft.com/office/drawing/2014/chart" uri="{C3380CC4-5D6E-409C-BE32-E72D297353CC}">
              <c16:uniqueId val="{00000002-613C-453D-BFF6-D9C4DC878559}"/>
            </c:ext>
          </c:extLst>
        </c:ser>
        <c:ser>
          <c:idx val="3"/>
          <c:order val="3"/>
          <c:tx>
            <c:strRef>
              <c:f>Overview!$B$56</c:f>
              <c:strCache>
                <c:ptCount val="1"/>
                <c:pt idx="0">
                  <c:v>Strategy 4: 100% ZNZ</c:v>
                </c:pt>
              </c:strCache>
            </c:strRef>
          </c:tx>
          <c:spPr>
            <a:ln w="38160" cap="rnd">
              <a:solidFill>
                <a:srgbClr val="5E948A"/>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Proposals!$C$88:$N$88</c:f>
              <c:numCache>
                <c:formatCode>#,##0_);[Red]\(#,##0\)</c:formatCode>
                <c:ptCount val="12"/>
                <c:pt idx="0">
                  <c:v>1404.1159723135436</c:v>
                </c:pt>
                <c:pt idx="1">
                  <c:v>1339.3555820953538</c:v>
                </c:pt>
                <c:pt idx="2">
                  <c:v>1326.6431490042801</c:v>
                </c:pt>
                <c:pt idx="3">
                  <c:v>1316.2678985152036</c:v>
                </c:pt>
                <c:pt idx="4">
                  <c:v>1305.0803135690157</c:v>
                </c:pt>
                <c:pt idx="5">
                  <c:v>1299.4876694956488</c:v>
                </c:pt>
                <c:pt idx="6">
                  <c:v>1208.353663394385</c:v>
                </c:pt>
                <c:pt idx="7">
                  <c:v>1227.2703301540723</c:v>
                </c:pt>
                <c:pt idx="8">
                  <c:v>1262.3589360000001</c:v>
                </c:pt>
                <c:pt idx="9">
                  <c:v>1333.0902719999999</c:v>
                </c:pt>
                <c:pt idx="10">
                  <c:v>1403.8216080000002</c:v>
                </c:pt>
                <c:pt idx="11">
                  <c:v>1474.5529440000005</c:v>
                </c:pt>
              </c:numCache>
            </c:numRef>
          </c:val>
          <c:smooth val="0"/>
          <c:extLst>
            <c:ext xmlns:c16="http://schemas.microsoft.com/office/drawing/2014/chart" uri="{C3380CC4-5D6E-409C-BE32-E72D297353CC}">
              <c16:uniqueId val="{00000003-613C-453D-BFF6-D9C4DC878559}"/>
            </c:ext>
          </c:extLst>
        </c:ser>
        <c:dLbls>
          <c:showLegendKey val="0"/>
          <c:showVal val="0"/>
          <c:showCatName val="0"/>
          <c:showSerName val="0"/>
          <c:showPercent val="0"/>
          <c:showBubbleSize val="0"/>
        </c:dLbls>
        <c:hiLowLines>
          <c:spPr>
            <a:ln w="0">
              <a:noFill/>
              <a:prstDash val="solid"/>
            </a:ln>
          </c:spPr>
        </c:hiLowLines>
        <c:smooth val="0"/>
        <c:axId val="2838396"/>
        <c:axId val="12178458"/>
      </c:lineChart>
      <c:catAx>
        <c:axId val="2838396"/>
        <c:scaling>
          <c:orientation val="minMax"/>
        </c:scaling>
        <c:delete val="0"/>
        <c:axPos val="b"/>
        <c:numFmt formatCode="General" sourceLinked="0"/>
        <c:majorTickMark val="none"/>
        <c:minorTickMark val="none"/>
        <c:tickLblPos val="nextTo"/>
        <c:spPr>
          <a:ln w="9360">
            <a:solidFill>
              <a:srgbClr val="D9D9D9"/>
            </a:solidFill>
            <a:prstDash val="solid"/>
            <a:round/>
          </a:ln>
        </c:spPr>
        <c:txPr>
          <a:bodyPr/>
          <a:lstStyle/>
          <a:p>
            <a:pPr>
              <a:defRPr lang="ja-JP" sz="900" b="0" strike="noStrike" spc="-1">
                <a:solidFill>
                  <a:srgbClr val="595959"/>
                </a:solidFill>
                <a:latin typeface="Calibri"/>
              </a:defRPr>
            </a:pPr>
            <a:endParaRPr lang="en-US"/>
          </a:p>
        </c:txPr>
        <c:crossAx val="12178458"/>
        <c:crosses val="autoZero"/>
        <c:auto val="1"/>
        <c:lblAlgn val="ctr"/>
        <c:lblOffset val="100"/>
        <c:noMultiLvlLbl val="0"/>
      </c:catAx>
      <c:valAx>
        <c:axId val="12178458"/>
        <c:scaling>
          <c:orientation val="minMax"/>
          <c:max val="2500"/>
        </c:scaling>
        <c:delete val="0"/>
        <c:axPos val="l"/>
        <c:numFmt formatCode="0" sourceLinked="0"/>
        <c:majorTickMark val="none"/>
        <c:minorTickMark val="none"/>
        <c:tickLblPos val="nextTo"/>
        <c:spPr>
          <a:ln w="6480">
            <a:noFill/>
            <a:prstDash val="solid"/>
          </a:ln>
        </c:spPr>
        <c:txPr>
          <a:bodyPr/>
          <a:lstStyle/>
          <a:p>
            <a:pPr>
              <a:defRPr lang="ja-JP" sz="900" b="0" strike="noStrike" spc="-1">
                <a:solidFill>
                  <a:srgbClr val="595959"/>
                </a:solidFill>
                <a:latin typeface="Calibri"/>
              </a:defRPr>
            </a:pPr>
            <a:endParaRPr lang="en-US"/>
          </a:p>
        </c:txPr>
        <c:crossAx val="2838396"/>
        <c:crosses val="autoZero"/>
        <c:crossBetween val="between"/>
      </c:valAx>
    </c:plotArea>
    <c:legend>
      <c:legendPos val="b"/>
      <c:layout>
        <c:manualLayout>
          <c:xMode val="edge"/>
          <c:yMode val="edge"/>
          <c:x val="9.4716563061001582E-2"/>
          <c:y val="0.16642493648561507"/>
          <c:w val="0.48007899305555557"/>
          <c:h val="0.2328108333333333"/>
        </c:manualLayout>
      </c:layout>
      <c:overlay val="0"/>
      <c:spPr>
        <a:noFill/>
        <a:ln w="0">
          <a:noFill/>
          <a:prstDash val="solid"/>
        </a:ln>
      </c:spPr>
      <c:txPr>
        <a:bodyPr/>
        <a:lstStyle/>
        <a:p>
          <a:pPr>
            <a:defRPr lang="ja-JP" sz="900" b="0" strike="noStrike" spc="-1">
              <a:solidFill>
                <a:srgbClr val="595959"/>
              </a:solidFill>
              <a:latin typeface="Calibri Light"/>
            </a:defRPr>
          </a:pPr>
          <a:endParaRPr lang="en-US"/>
        </a:p>
      </c:txPr>
    </c:legend>
    <c:plotVisOnly val="0"/>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lang="en-US" sz="1400" b="1" strike="noStrike" spc="-1">
                <a:solidFill>
                  <a:srgbClr val="595959"/>
                </a:solidFill>
                <a:latin typeface="Calibri Light"/>
              </a:defRPr>
            </a:pPr>
            <a:r>
              <a:rPr lang="en-US" sz="1400" b="1" strike="noStrike" spc="-1">
                <a:solidFill>
                  <a:srgbClr val="595959"/>
                </a:solidFill>
                <a:latin typeface="Calibri Light"/>
              </a:rPr>
              <a:t>Enhanced Pricing, </a:t>
            </a:r>
            <a:r>
              <a:rPr lang="en-GB" sz="1400" b="1" i="0" u="none" strike="noStrike" baseline="0"/>
              <a:t>CL.5215 - Tuvalu</a:t>
            </a:r>
            <a:r>
              <a:rPr lang="en-US" sz="1400" b="1" strike="noStrike" spc="-1" baseline="0">
                <a:solidFill>
                  <a:srgbClr val="595959"/>
                </a:solidFill>
                <a:latin typeface="Calibri Light"/>
              </a:rPr>
              <a:t> </a:t>
            </a:r>
            <a:r>
              <a:rPr lang="en-US" sz="1400" b="1" strike="noStrike" spc="-1">
                <a:solidFill>
                  <a:srgbClr val="595959"/>
                </a:solidFill>
                <a:latin typeface="Calibri Light"/>
              </a:rPr>
              <a:t> [USD/tVLSFOeq] </a:t>
            </a:r>
          </a:p>
        </c:rich>
      </c:tx>
      <c:layout>
        <c:manualLayout>
          <c:xMode val="edge"/>
          <c:yMode val="edge"/>
          <c:x val="0.28925153531335579"/>
          <c:y val="1.658824189575421E-2"/>
        </c:manualLayout>
      </c:layout>
      <c:overlay val="0"/>
      <c:spPr>
        <a:noFill/>
        <a:ln w="0">
          <a:noFill/>
          <a:prstDash val="solid"/>
        </a:ln>
      </c:spPr>
    </c:title>
    <c:autoTitleDeleted val="0"/>
    <c:plotArea>
      <c:layout>
        <c:manualLayout>
          <c:layoutTarget val="inner"/>
          <c:xMode val="edge"/>
          <c:yMode val="edge"/>
          <c:x val="6.7809888579387204E-2"/>
          <c:y val="0.118692408951294"/>
          <c:w val="0.90076601671309198"/>
          <c:h val="0.78066037735849103"/>
        </c:manualLayout>
      </c:layout>
      <c:lineChart>
        <c:grouping val="standard"/>
        <c:varyColors val="0"/>
        <c:ser>
          <c:idx val="0"/>
          <c:order val="0"/>
          <c:tx>
            <c:strRef>
              <c:f>Overview!$B$53</c:f>
              <c:strCache>
                <c:ptCount val="1"/>
                <c:pt idx="0">
                  <c:v>Strategy 1: VLSFO + bio-diesel (base case)</c:v>
                </c:pt>
              </c:strCache>
            </c:strRef>
          </c:tx>
          <c:spPr>
            <a:ln w="38160" cap="rnd">
              <a:solidFill>
                <a:srgbClr val="595959"/>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Proposals!$C$72:$N$72</c:f>
              <c:numCache>
                <c:formatCode>#,##0_);[Red]\(#,##0\)</c:formatCode>
                <c:ptCount val="12"/>
                <c:pt idx="0">
                  <c:v>1755.4977986726904</c:v>
                </c:pt>
                <c:pt idx="1">
                  <c:v>1743.5803427699018</c:v>
                </c:pt>
                <c:pt idx="2">
                  <c:v>1729.6179651428572</c:v>
                </c:pt>
                <c:pt idx="3">
                  <c:v>1718.099457395856</c:v>
                </c:pt>
                <c:pt idx="4">
                  <c:v>1710.2581013173392</c:v>
                </c:pt>
                <c:pt idx="5">
                  <c:v>1703.8578870926935</c:v>
                </c:pt>
                <c:pt idx="6">
                  <c:v>1699.9015427480915</c:v>
                </c:pt>
                <c:pt idx="7">
                  <c:v>1695.3537232061071</c:v>
                </c:pt>
                <c:pt idx="8">
                  <c:v>1694.6938784732824</c:v>
                </c:pt>
                <c:pt idx="9">
                  <c:v>1700.7167680916032</c:v>
                </c:pt>
                <c:pt idx="10">
                  <c:v>1708.1996630534352</c:v>
                </c:pt>
                <c:pt idx="11">
                  <c:v>1719.5705328244276</c:v>
                </c:pt>
              </c:numCache>
            </c:numRef>
          </c:val>
          <c:smooth val="0"/>
          <c:extLst>
            <c:ext xmlns:c16="http://schemas.microsoft.com/office/drawing/2014/chart" uri="{C3380CC4-5D6E-409C-BE32-E72D297353CC}">
              <c16:uniqueId val="{00000000-589D-467F-82B4-FE560F0F69DA}"/>
            </c:ext>
          </c:extLst>
        </c:ser>
        <c:ser>
          <c:idx val="1"/>
          <c:order val="1"/>
          <c:tx>
            <c:strRef>
              <c:f>Overview!$B$54</c:f>
              <c:strCache>
                <c:ptCount val="1"/>
                <c:pt idx="0">
                  <c:v>Strategy 2: LNG + bio-methane</c:v>
                </c:pt>
              </c:strCache>
            </c:strRef>
          </c:tx>
          <c:spPr>
            <a:ln w="38160" cap="rnd">
              <a:solidFill>
                <a:srgbClr val="A6A6A6"/>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Proposals!$C$78:$N$78</c:f>
              <c:numCache>
                <c:formatCode>#,##0_);[Red]\(#,##0\)</c:formatCode>
                <c:ptCount val="12"/>
                <c:pt idx="0">
                  <c:v>1494.2004000000002</c:v>
                </c:pt>
                <c:pt idx="1">
                  <c:v>1461.2404000000001</c:v>
                </c:pt>
                <c:pt idx="2">
                  <c:v>1457.4946321987261</c:v>
                </c:pt>
                <c:pt idx="3">
                  <c:v>1452.0088321956712</c:v>
                </c:pt>
                <c:pt idx="4">
                  <c:v>1448.8556609419304</c:v>
                </c:pt>
                <c:pt idx="5">
                  <c:v>1447.8945167264937</c:v>
                </c:pt>
                <c:pt idx="6">
                  <c:v>1449.1253995493616</c:v>
                </c:pt>
                <c:pt idx="7">
                  <c:v>1450.2480099007939</c:v>
                </c:pt>
                <c:pt idx="8">
                  <c:v>1456.0678191880922</c:v>
                </c:pt>
                <c:pt idx="9">
                  <c:v>1465.3749442181474</c:v>
                </c:pt>
                <c:pt idx="10">
                  <c:v>1475.258372167237</c:v>
                </c:pt>
                <c:pt idx="11">
                  <c:v>1491.1148462751526</c:v>
                </c:pt>
              </c:numCache>
            </c:numRef>
          </c:val>
          <c:smooth val="0"/>
          <c:extLst>
            <c:ext xmlns:c16="http://schemas.microsoft.com/office/drawing/2014/chart" uri="{C3380CC4-5D6E-409C-BE32-E72D297353CC}">
              <c16:uniqueId val="{00000001-589D-467F-82B4-FE560F0F69DA}"/>
            </c:ext>
          </c:extLst>
        </c:ser>
        <c:ser>
          <c:idx val="2"/>
          <c:order val="2"/>
          <c:tx>
            <c:strRef>
              <c:f>Overview!$B$55</c:f>
              <c:strCache>
                <c:ptCount val="1"/>
                <c:pt idx="0">
                  <c:v>Strategy 3: VLSFO + ZNZ</c:v>
                </c:pt>
              </c:strCache>
            </c:strRef>
          </c:tx>
          <c:spPr>
            <a:ln w="38160" cap="rnd">
              <a:solidFill>
                <a:srgbClr val="5E948A"/>
              </a:solidFill>
              <a:prstDash val="sysDash"/>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Proposals!$C$84:$N$84</c:f>
              <c:numCache>
                <c:formatCode>#,##0_);[Red]\(#,##0\)</c:formatCode>
                <c:ptCount val="12"/>
                <c:pt idx="0">
                  <c:v>1807.8776594285714</c:v>
                </c:pt>
                <c:pt idx="1">
                  <c:v>1805.1994239999999</c:v>
                </c:pt>
                <c:pt idx="2">
                  <c:v>1813.3741632000001</c:v>
                </c:pt>
                <c:pt idx="3">
                  <c:v>1821.5489024000001</c:v>
                </c:pt>
                <c:pt idx="4">
                  <c:v>1829.7236416000001</c:v>
                </c:pt>
                <c:pt idx="5">
                  <c:v>1837.8983808</c:v>
                </c:pt>
                <c:pt idx="6">
                  <c:v>1806.1438285223367</c:v>
                </c:pt>
                <c:pt idx="7">
                  <c:v>1801.8862403436428</c:v>
                </c:pt>
                <c:pt idx="8">
                  <c:v>1793.4346408247425</c:v>
                </c:pt>
                <c:pt idx="9">
                  <c:v>1780.7890299656356</c:v>
                </c:pt>
                <c:pt idx="10">
                  <c:v>1763.9494077663228</c:v>
                </c:pt>
                <c:pt idx="11">
                  <c:v>1742.9157742268039</c:v>
                </c:pt>
              </c:numCache>
            </c:numRef>
          </c:val>
          <c:smooth val="0"/>
          <c:extLst>
            <c:ext xmlns:c16="http://schemas.microsoft.com/office/drawing/2014/chart" uri="{C3380CC4-5D6E-409C-BE32-E72D297353CC}">
              <c16:uniqueId val="{00000002-589D-467F-82B4-FE560F0F69DA}"/>
            </c:ext>
          </c:extLst>
        </c:ser>
        <c:ser>
          <c:idx val="3"/>
          <c:order val="3"/>
          <c:tx>
            <c:strRef>
              <c:f>Overview!$B$56</c:f>
              <c:strCache>
                <c:ptCount val="1"/>
                <c:pt idx="0">
                  <c:v>Strategy 4: 100% ZNZ</c:v>
                </c:pt>
              </c:strCache>
            </c:strRef>
          </c:tx>
          <c:spPr>
            <a:ln w="38160" cap="rnd">
              <a:solidFill>
                <a:srgbClr val="5E948A"/>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Proposals!$C$90:$N$90</c:f>
              <c:numCache>
                <c:formatCode>#,##0_);[Red]\(#,##0\)</c:formatCode>
                <c:ptCount val="12"/>
                <c:pt idx="0">
                  <c:v>2205.318285714286</c:v>
                </c:pt>
                <c:pt idx="1">
                  <c:v>2147.3440000000001</c:v>
                </c:pt>
                <c:pt idx="2">
                  <c:v>2115.826</c:v>
                </c:pt>
                <c:pt idx="3">
                  <c:v>2084.3080000000004</c:v>
                </c:pt>
                <c:pt idx="4">
                  <c:v>2052.79</c:v>
                </c:pt>
                <c:pt idx="5">
                  <c:v>2021.2719999999999</c:v>
                </c:pt>
                <c:pt idx="6">
                  <c:v>1907.3540000000003</c:v>
                </c:pt>
                <c:pt idx="7">
                  <c:v>1875.8360000000007</c:v>
                </c:pt>
                <c:pt idx="8">
                  <c:v>1844.3180000000007</c:v>
                </c:pt>
                <c:pt idx="9">
                  <c:v>1812.8000000000002</c:v>
                </c:pt>
                <c:pt idx="10">
                  <c:v>1781.2820000000002</c:v>
                </c:pt>
                <c:pt idx="11">
                  <c:v>1749.7640000000006</c:v>
                </c:pt>
              </c:numCache>
            </c:numRef>
          </c:val>
          <c:smooth val="0"/>
          <c:extLst>
            <c:ext xmlns:c16="http://schemas.microsoft.com/office/drawing/2014/chart" uri="{C3380CC4-5D6E-409C-BE32-E72D297353CC}">
              <c16:uniqueId val="{00000003-589D-467F-82B4-FE560F0F69DA}"/>
            </c:ext>
          </c:extLst>
        </c:ser>
        <c:dLbls>
          <c:showLegendKey val="0"/>
          <c:showVal val="0"/>
          <c:showCatName val="0"/>
          <c:showSerName val="0"/>
          <c:showPercent val="0"/>
          <c:showBubbleSize val="0"/>
        </c:dLbls>
        <c:hiLowLines>
          <c:spPr>
            <a:ln w="0">
              <a:noFill/>
              <a:prstDash val="solid"/>
            </a:ln>
          </c:spPr>
        </c:hiLowLines>
        <c:smooth val="0"/>
        <c:axId val="2838396"/>
        <c:axId val="12178458"/>
      </c:lineChart>
      <c:catAx>
        <c:axId val="2838396"/>
        <c:scaling>
          <c:orientation val="minMax"/>
        </c:scaling>
        <c:delete val="0"/>
        <c:axPos val="b"/>
        <c:numFmt formatCode="General" sourceLinked="0"/>
        <c:majorTickMark val="none"/>
        <c:minorTickMark val="none"/>
        <c:tickLblPos val="nextTo"/>
        <c:spPr>
          <a:ln w="9360">
            <a:solidFill>
              <a:srgbClr val="D9D9D9"/>
            </a:solidFill>
            <a:prstDash val="solid"/>
            <a:round/>
          </a:ln>
        </c:spPr>
        <c:txPr>
          <a:bodyPr/>
          <a:lstStyle/>
          <a:p>
            <a:pPr>
              <a:defRPr lang="ja-JP" sz="900" b="0" strike="noStrike" spc="-1">
                <a:solidFill>
                  <a:srgbClr val="595959"/>
                </a:solidFill>
                <a:latin typeface="Calibri"/>
              </a:defRPr>
            </a:pPr>
            <a:endParaRPr lang="en-US"/>
          </a:p>
        </c:txPr>
        <c:crossAx val="12178458"/>
        <c:crosses val="autoZero"/>
        <c:auto val="1"/>
        <c:lblAlgn val="ctr"/>
        <c:lblOffset val="100"/>
        <c:noMultiLvlLbl val="0"/>
      </c:catAx>
      <c:valAx>
        <c:axId val="12178458"/>
        <c:scaling>
          <c:orientation val="minMax"/>
          <c:max val="2500"/>
        </c:scaling>
        <c:delete val="0"/>
        <c:axPos val="l"/>
        <c:numFmt formatCode="0" sourceLinked="0"/>
        <c:majorTickMark val="none"/>
        <c:minorTickMark val="none"/>
        <c:tickLblPos val="nextTo"/>
        <c:spPr>
          <a:ln w="6480">
            <a:noFill/>
            <a:prstDash val="solid"/>
          </a:ln>
        </c:spPr>
        <c:txPr>
          <a:bodyPr/>
          <a:lstStyle/>
          <a:p>
            <a:pPr>
              <a:defRPr lang="ja-JP" sz="900" b="0" strike="noStrike" spc="-1">
                <a:solidFill>
                  <a:srgbClr val="595959"/>
                </a:solidFill>
                <a:latin typeface="Calibri"/>
              </a:defRPr>
            </a:pPr>
            <a:endParaRPr lang="en-US"/>
          </a:p>
        </c:txPr>
        <c:crossAx val="2838396"/>
        <c:crosses val="autoZero"/>
        <c:crossBetween val="between"/>
      </c:valAx>
    </c:plotArea>
    <c:legend>
      <c:legendPos val="b"/>
      <c:layout>
        <c:manualLayout>
          <c:xMode val="edge"/>
          <c:yMode val="edge"/>
          <c:x val="8.8677371306791403E-2"/>
          <c:y val="0.51276583575052004"/>
          <c:w val="0.52527517361111109"/>
          <c:h val="0.26194027777777773"/>
        </c:manualLayout>
      </c:layout>
      <c:overlay val="0"/>
      <c:spPr>
        <a:noFill/>
        <a:ln w="0">
          <a:noFill/>
          <a:prstDash val="solid"/>
        </a:ln>
      </c:spPr>
      <c:txPr>
        <a:bodyPr/>
        <a:lstStyle/>
        <a:p>
          <a:pPr>
            <a:defRPr lang="ja-JP" sz="900" b="0" strike="noStrike" spc="-1">
              <a:solidFill>
                <a:srgbClr val="595959"/>
              </a:solidFill>
              <a:latin typeface="Calibri Light"/>
            </a:defRPr>
          </a:pPr>
          <a:endParaRPr lang="en-US"/>
        </a:p>
      </c:txPr>
    </c:legend>
    <c:plotVisOnly val="0"/>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lang="en-US" sz="1400" b="1" strike="noStrike" spc="-1">
                <a:solidFill>
                  <a:srgbClr val="595959"/>
                </a:solidFill>
                <a:latin typeface="Calibri Light"/>
              </a:defRPr>
            </a:pPr>
            <a:r>
              <a:rPr lang="en-US" sz="1400" b="1" strike="noStrike" spc="-1">
                <a:solidFill>
                  <a:srgbClr val="595959"/>
                </a:solidFill>
                <a:latin typeface="Calibri Light"/>
              </a:rPr>
              <a:t>Market-defined GFS</a:t>
            </a:r>
            <a:r>
              <a:rPr lang="en-US" sz="1400" b="1" strike="noStrike" spc="-1" baseline="0">
                <a:solidFill>
                  <a:srgbClr val="595959"/>
                </a:solidFill>
                <a:latin typeface="Calibri Light"/>
              </a:rPr>
              <a:t>, </a:t>
            </a:r>
            <a:r>
              <a:rPr lang="en-GB" sz="1400" b="1" i="0" u="none" strike="noStrike" baseline="0"/>
              <a:t>CL.5213 - Liberia</a:t>
            </a:r>
            <a:r>
              <a:rPr lang="en-US" sz="1400" b="1" strike="noStrike" spc="-1">
                <a:solidFill>
                  <a:srgbClr val="595959"/>
                </a:solidFill>
                <a:latin typeface="Calibri Light"/>
              </a:rPr>
              <a:t> [USD/tVLSFOeq] </a:t>
            </a:r>
          </a:p>
        </c:rich>
      </c:tx>
      <c:layout>
        <c:manualLayout>
          <c:xMode val="edge"/>
          <c:yMode val="edge"/>
          <c:x val="0.22268825530373948"/>
          <c:y val="1.6588372736495837E-2"/>
        </c:manualLayout>
      </c:layout>
      <c:overlay val="0"/>
      <c:spPr>
        <a:noFill/>
        <a:ln w="0">
          <a:noFill/>
          <a:prstDash val="solid"/>
        </a:ln>
      </c:spPr>
    </c:title>
    <c:autoTitleDeleted val="0"/>
    <c:plotArea>
      <c:layout>
        <c:manualLayout>
          <c:layoutTarget val="inner"/>
          <c:xMode val="edge"/>
          <c:yMode val="edge"/>
          <c:x val="6.7809888579387204E-2"/>
          <c:y val="0.118692408951294"/>
          <c:w val="0.90076601671309198"/>
          <c:h val="0.78066037735849103"/>
        </c:manualLayout>
      </c:layout>
      <c:lineChart>
        <c:grouping val="standard"/>
        <c:varyColors val="0"/>
        <c:ser>
          <c:idx val="0"/>
          <c:order val="0"/>
          <c:tx>
            <c:strRef>
              <c:f>Overview!$B$53</c:f>
              <c:strCache>
                <c:ptCount val="1"/>
                <c:pt idx="0">
                  <c:v>Strategy 1: VLSFO + bio-diesel (base case)</c:v>
                </c:pt>
              </c:strCache>
            </c:strRef>
          </c:tx>
          <c:spPr>
            <a:ln w="38160" cap="rnd">
              <a:solidFill>
                <a:srgbClr val="595959"/>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Proposals!$C$73:$N$73</c:f>
              <c:numCache>
                <c:formatCode>#,##0_);[Red]\(#,##0\)</c:formatCode>
                <c:ptCount val="12"/>
                <c:pt idx="0">
                  <c:v>602.10857142857139</c:v>
                </c:pt>
                <c:pt idx="1">
                  <c:v>593.28</c:v>
                </c:pt>
                <c:pt idx="2">
                  <c:v>587.92399999999998</c:v>
                </c:pt>
                <c:pt idx="3">
                  <c:v>582.5680000000001</c:v>
                </c:pt>
                <c:pt idx="4">
                  <c:v>577.21199999999999</c:v>
                </c:pt>
                <c:pt idx="5">
                  <c:v>571.85599999999999</c:v>
                </c:pt>
                <c:pt idx="6">
                  <c:v>566.5</c:v>
                </c:pt>
                <c:pt idx="7">
                  <c:v>561.14400000000001</c:v>
                </c:pt>
                <c:pt idx="8">
                  <c:v>555.78800000000001</c:v>
                </c:pt>
                <c:pt idx="9">
                  <c:v>550.43200000000002</c:v>
                </c:pt>
                <c:pt idx="10">
                  <c:v>545.07600000000002</c:v>
                </c:pt>
                <c:pt idx="11">
                  <c:v>539.72</c:v>
                </c:pt>
              </c:numCache>
            </c:numRef>
          </c:val>
          <c:smooth val="0"/>
          <c:extLst>
            <c:ext xmlns:c16="http://schemas.microsoft.com/office/drawing/2014/chart" uri="{C3380CC4-5D6E-409C-BE32-E72D297353CC}">
              <c16:uniqueId val="{00000000-752E-4167-A578-4BE359B0885A}"/>
            </c:ext>
          </c:extLst>
        </c:ser>
        <c:ser>
          <c:idx val="1"/>
          <c:order val="1"/>
          <c:tx>
            <c:strRef>
              <c:f>Overview!$B$54</c:f>
              <c:strCache>
                <c:ptCount val="1"/>
                <c:pt idx="0">
                  <c:v>Strategy 2: LNG + bio-methane</c:v>
                </c:pt>
              </c:strCache>
            </c:strRef>
          </c:tx>
          <c:spPr>
            <a:ln w="38160" cap="rnd">
              <a:solidFill>
                <a:srgbClr val="A6A6A6"/>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Proposals!$C$79:$N$79</c:f>
              <c:numCache>
                <c:formatCode>#,##0_);[Red]\(#,##0\)</c:formatCode>
                <c:ptCount val="12"/>
                <c:pt idx="0">
                  <c:v>457.32000000000005</c:v>
                </c:pt>
                <c:pt idx="1">
                  <c:v>424.36</c:v>
                </c:pt>
                <c:pt idx="2">
                  <c:v>423.94800000000004</c:v>
                </c:pt>
                <c:pt idx="3">
                  <c:v>423.53600000000006</c:v>
                </c:pt>
                <c:pt idx="4">
                  <c:v>423.12400000000002</c:v>
                </c:pt>
                <c:pt idx="5">
                  <c:v>422.71199999999999</c:v>
                </c:pt>
                <c:pt idx="6">
                  <c:v>422.3</c:v>
                </c:pt>
                <c:pt idx="7">
                  <c:v>421.88800000000003</c:v>
                </c:pt>
                <c:pt idx="8">
                  <c:v>421.476</c:v>
                </c:pt>
                <c:pt idx="9">
                  <c:v>421.06399999999996</c:v>
                </c:pt>
                <c:pt idx="10">
                  <c:v>420.65199999999999</c:v>
                </c:pt>
                <c:pt idx="11">
                  <c:v>420.24</c:v>
                </c:pt>
              </c:numCache>
            </c:numRef>
          </c:val>
          <c:smooth val="0"/>
          <c:extLst>
            <c:ext xmlns:c16="http://schemas.microsoft.com/office/drawing/2014/chart" uri="{C3380CC4-5D6E-409C-BE32-E72D297353CC}">
              <c16:uniqueId val="{00000001-752E-4167-A578-4BE359B0885A}"/>
            </c:ext>
          </c:extLst>
        </c:ser>
        <c:ser>
          <c:idx val="2"/>
          <c:order val="2"/>
          <c:tx>
            <c:strRef>
              <c:f>Overview!$B$55</c:f>
              <c:strCache>
                <c:ptCount val="1"/>
                <c:pt idx="0">
                  <c:v>Strategy 3: VLSFO + ZNZ</c:v>
                </c:pt>
              </c:strCache>
            </c:strRef>
          </c:tx>
          <c:spPr>
            <a:ln w="38160" cap="rnd">
              <a:solidFill>
                <a:srgbClr val="5E948A"/>
              </a:solidFill>
              <a:prstDash val="sysDash"/>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Proposals!$C$85:$N$85</c:f>
              <c:numCache>
                <c:formatCode>#,##0_);[Red]\(#,##0\)</c:formatCode>
                <c:ptCount val="12"/>
                <c:pt idx="0">
                  <c:v>602.10857142857139</c:v>
                </c:pt>
                <c:pt idx="1">
                  <c:v>593.28</c:v>
                </c:pt>
                <c:pt idx="2">
                  <c:v>587.92399999999998</c:v>
                </c:pt>
                <c:pt idx="3">
                  <c:v>582.5680000000001</c:v>
                </c:pt>
                <c:pt idx="4">
                  <c:v>577.21199999999999</c:v>
                </c:pt>
                <c:pt idx="5">
                  <c:v>571.85599999999999</c:v>
                </c:pt>
                <c:pt idx="6">
                  <c:v>566.5</c:v>
                </c:pt>
                <c:pt idx="7">
                  <c:v>561.14400000000001</c:v>
                </c:pt>
                <c:pt idx="8">
                  <c:v>555.78800000000001</c:v>
                </c:pt>
                <c:pt idx="9">
                  <c:v>550.43200000000002</c:v>
                </c:pt>
                <c:pt idx="10">
                  <c:v>545.07600000000002</c:v>
                </c:pt>
                <c:pt idx="11">
                  <c:v>539.72</c:v>
                </c:pt>
              </c:numCache>
            </c:numRef>
          </c:val>
          <c:smooth val="0"/>
          <c:extLst>
            <c:ext xmlns:c16="http://schemas.microsoft.com/office/drawing/2014/chart" uri="{C3380CC4-5D6E-409C-BE32-E72D297353CC}">
              <c16:uniqueId val="{00000002-752E-4167-A578-4BE359B0885A}"/>
            </c:ext>
          </c:extLst>
        </c:ser>
        <c:ser>
          <c:idx val="3"/>
          <c:order val="3"/>
          <c:tx>
            <c:strRef>
              <c:f>Overview!$B$56</c:f>
              <c:strCache>
                <c:ptCount val="1"/>
                <c:pt idx="0">
                  <c:v>Strategy 4: 100% ZNZ</c:v>
                </c:pt>
              </c:strCache>
            </c:strRef>
          </c:tx>
          <c:spPr>
            <a:ln w="38160" cap="rnd">
              <a:solidFill>
                <a:srgbClr val="5E948A"/>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Overview!$C$52:$S$52</c:f>
              <c:numCache>
                <c:formatCode>General</c:formatCode>
                <c:ptCount val="17"/>
                <c:pt idx="0">
                  <c:v>2029</c:v>
                </c:pt>
                <c:pt idx="1">
                  <c:v>2030</c:v>
                </c:pt>
                <c:pt idx="2">
                  <c:v>2031</c:v>
                </c:pt>
                <c:pt idx="3">
                  <c:v>2032</c:v>
                </c:pt>
                <c:pt idx="4">
                  <c:v>2033</c:v>
                </c:pt>
                <c:pt idx="5">
                  <c:v>2034</c:v>
                </c:pt>
                <c:pt idx="6">
                  <c:v>2035</c:v>
                </c:pt>
                <c:pt idx="7">
                  <c:v>2036</c:v>
                </c:pt>
                <c:pt idx="8">
                  <c:v>2037</c:v>
                </c:pt>
                <c:pt idx="9">
                  <c:v>2038</c:v>
                </c:pt>
                <c:pt idx="10">
                  <c:v>2039</c:v>
                </c:pt>
                <c:pt idx="11">
                  <c:v>2040</c:v>
                </c:pt>
              </c:numCache>
            </c:numRef>
          </c:cat>
          <c:val>
            <c:numRef>
              <c:f>Proposals!$C$91:$N$91</c:f>
              <c:numCache>
                <c:formatCode>#,##0_);[Red]\(#,##0\)</c:formatCode>
                <c:ptCount val="12"/>
                <c:pt idx="0">
                  <c:v>2276.5942857142859</c:v>
                </c:pt>
                <c:pt idx="1">
                  <c:v>2218.62</c:v>
                </c:pt>
                <c:pt idx="2">
                  <c:v>2187.1019999999999</c:v>
                </c:pt>
                <c:pt idx="3">
                  <c:v>2155.5840000000003</c:v>
                </c:pt>
                <c:pt idx="4">
                  <c:v>2124.0659999999998</c:v>
                </c:pt>
                <c:pt idx="5">
                  <c:v>2092.5479999999998</c:v>
                </c:pt>
                <c:pt idx="6">
                  <c:v>2061.0300000000002</c:v>
                </c:pt>
                <c:pt idx="7">
                  <c:v>2029.5120000000004</c:v>
                </c:pt>
                <c:pt idx="8">
                  <c:v>1997.9940000000004</c:v>
                </c:pt>
                <c:pt idx="9">
                  <c:v>1966.4759999999999</c:v>
                </c:pt>
                <c:pt idx="10">
                  <c:v>1934.9580000000001</c:v>
                </c:pt>
                <c:pt idx="11">
                  <c:v>1903.4400000000003</c:v>
                </c:pt>
              </c:numCache>
            </c:numRef>
          </c:val>
          <c:smooth val="0"/>
          <c:extLst>
            <c:ext xmlns:c16="http://schemas.microsoft.com/office/drawing/2014/chart" uri="{C3380CC4-5D6E-409C-BE32-E72D297353CC}">
              <c16:uniqueId val="{00000003-752E-4167-A578-4BE359B0885A}"/>
            </c:ext>
          </c:extLst>
        </c:ser>
        <c:dLbls>
          <c:showLegendKey val="0"/>
          <c:showVal val="0"/>
          <c:showCatName val="0"/>
          <c:showSerName val="0"/>
          <c:showPercent val="0"/>
          <c:showBubbleSize val="0"/>
        </c:dLbls>
        <c:hiLowLines>
          <c:spPr>
            <a:ln w="0">
              <a:noFill/>
              <a:prstDash val="solid"/>
            </a:ln>
          </c:spPr>
        </c:hiLowLines>
        <c:smooth val="0"/>
        <c:axId val="2838396"/>
        <c:axId val="12178458"/>
      </c:lineChart>
      <c:catAx>
        <c:axId val="2838396"/>
        <c:scaling>
          <c:orientation val="minMax"/>
        </c:scaling>
        <c:delete val="0"/>
        <c:axPos val="b"/>
        <c:numFmt formatCode="General" sourceLinked="0"/>
        <c:majorTickMark val="none"/>
        <c:minorTickMark val="none"/>
        <c:tickLblPos val="nextTo"/>
        <c:spPr>
          <a:ln w="9360">
            <a:solidFill>
              <a:srgbClr val="D9D9D9"/>
            </a:solidFill>
            <a:prstDash val="solid"/>
            <a:round/>
          </a:ln>
        </c:spPr>
        <c:txPr>
          <a:bodyPr/>
          <a:lstStyle/>
          <a:p>
            <a:pPr>
              <a:defRPr lang="ja-JP" sz="900" b="0" strike="noStrike" spc="-1">
                <a:solidFill>
                  <a:srgbClr val="595959"/>
                </a:solidFill>
                <a:latin typeface="Calibri"/>
              </a:defRPr>
            </a:pPr>
            <a:endParaRPr lang="en-US"/>
          </a:p>
        </c:txPr>
        <c:crossAx val="12178458"/>
        <c:crosses val="autoZero"/>
        <c:auto val="1"/>
        <c:lblAlgn val="ctr"/>
        <c:lblOffset val="100"/>
        <c:noMultiLvlLbl val="0"/>
      </c:catAx>
      <c:valAx>
        <c:axId val="12178458"/>
        <c:scaling>
          <c:orientation val="minMax"/>
          <c:max val="2500"/>
        </c:scaling>
        <c:delete val="0"/>
        <c:axPos val="l"/>
        <c:numFmt formatCode="0" sourceLinked="0"/>
        <c:majorTickMark val="none"/>
        <c:minorTickMark val="none"/>
        <c:tickLblPos val="nextTo"/>
        <c:spPr>
          <a:ln w="6480">
            <a:noFill/>
            <a:prstDash val="solid"/>
          </a:ln>
        </c:spPr>
        <c:txPr>
          <a:bodyPr/>
          <a:lstStyle/>
          <a:p>
            <a:pPr>
              <a:defRPr lang="ja-JP" sz="900" b="0" strike="noStrike" spc="-1">
                <a:solidFill>
                  <a:srgbClr val="595959"/>
                </a:solidFill>
                <a:latin typeface="Calibri"/>
              </a:defRPr>
            </a:pPr>
            <a:endParaRPr lang="en-US"/>
          </a:p>
        </c:txPr>
        <c:crossAx val="2838396"/>
        <c:crosses val="autoZero"/>
        <c:crossBetween val="between"/>
      </c:valAx>
    </c:plotArea>
    <c:legend>
      <c:legendPos val="b"/>
      <c:layout>
        <c:manualLayout>
          <c:xMode val="edge"/>
          <c:yMode val="edge"/>
          <c:x val="0.12048055555555555"/>
          <c:y val="0.29281166666666669"/>
          <c:w val="0.46657447916666667"/>
          <c:h val="0.24841333333333335"/>
        </c:manualLayout>
      </c:layout>
      <c:overlay val="0"/>
      <c:spPr>
        <a:noFill/>
        <a:ln w="0">
          <a:noFill/>
          <a:prstDash val="solid"/>
        </a:ln>
      </c:spPr>
      <c:txPr>
        <a:bodyPr/>
        <a:lstStyle/>
        <a:p>
          <a:pPr>
            <a:defRPr lang="ja-JP" sz="900" b="0" strike="noStrike" spc="-1">
              <a:solidFill>
                <a:srgbClr val="595959"/>
              </a:solidFill>
              <a:latin typeface="Calibri Light"/>
            </a:defRPr>
          </a:pPr>
          <a:endParaRPr lang="en-US"/>
        </a:p>
      </c:txPr>
    </c:legend>
    <c:plotVisOnly val="0"/>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Overview!$B$58</c:f>
          <c:strCache>
            <c:ptCount val="1"/>
            <c:pt idx="0">
              <c:v>2035 - Strategy 1: VLSFO + bio-diesel (base case)  |  Total 943 USD/tVLSFOeq</c:v>
            </c:pt>
          </c:strCache>
        </c:strRef>
      </c:tx>
      <c:layout>
        <c:manualLayout>
          <c:xMode val="edge"/>
          <c:yMode val="edge"/>
          <c:x val="0.1058323754789272"/>
          <c:y val="6.6225627240143373E-2"/>
        </c:manualLayout>
      </c:layout>
      <c:overlay val="0"/>
      <c:spPr>
        <a:noFill/>
        <a:ln w="0">
          <a:noFill/>
          <a:prstDash val="solid"/>
        </a:ln>
      </c:spPr>
      <c:txPr>
        <a:bodyPr rot="0"/>
        <a:lstStyle/>
        <a:p>
          <a:pPr>
            <a:defRPr lang="en-GB" sz="1200" b="0" strike="noStrike" spc="-1">
              <a:solidFill>
                <a:srgbClr val="595959"/>
              </a:solidFill>
              <a:latin typeface="Calibri Light"/>
            </a:defRPr>
          </a:pPr>
          <a:endParaRPr lang="en-US"/>
        </a:p>
      </c:txPr>
    </c:title>
    <c:autoTitleDeleted val="0"/>
    <c:plotArea>
      <c:layout>
        <c:manualLayout>
          <c:layoutTarget val="inner"/>
          <c:xMode val="edge"/>
          <c:yMode val="edge"/>
          <c:x val="1.28367383836558E-2"/>
          <c:y val="0.21102535832414601"/>
          <c:w val="0.95588501175194396"/>
          <c:h val="0.59250275633958105"/>
        </c:manualLayout>
      </c:layout>
      <c:barChart>
        <c:barDir val="col"/>
        <c:grouping val="stacked"/>
        <c:varyColors val="0"/>
        <c:ser>
          <c:idx val="0"/>
          <c:order val="0"/>
          <c:tx>
            <c:strRef>
              <c:f>Overview!$B$59</c:f>
              <c:strCache>
                <c:ptCount val="1"/>
                <c:pt idx="0">
                  <c:v>VLSFO fuel</c:v>
                </c:pt>
              </c:strCache>
            </c:strRef>
          </c:tx>
          <c:spPr>
            <a:solidFill>
              <a:srgbClr val="404040"/>
            </a:solidFill>
            <a:ln w="0">
              <a:noFill/>
              <a:prstDash val="solid"/>
            </a:ln>
          </c:spPr>
          <c:invertIfNegative val="0"/>
          <c:dLbls>
            <c:spPr>
              <a:noFill/>
              <a:ln>
                <a:noFill/>
                <a:prstDash val="solid"/>
              </a:ln>
            </c:spPr>
            <c:txPr>
              <a:bodyPr wrap="square"/>
              <a:lstStyle/>
              <a:p>
                <a:pPr>
                  <a:defRPr lang="ja-JP" sz="900" b="1" strike="noStrike" spc="-1">
                    <a:solidFill>
                      <a:srgbClr val="FFFFFF"/>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Overview!$C$59</c:f>
              <c:numCache>
                <c:formatCode>0</c:formatCode>
                <c:ptCount val="1"/>
                <c:pt idx="0">
                  <c:v>566.5</c:v>
                </c:pt>
              </c:numCache>
            </c:numRef>
          </c:val>
          <c:extLst>
            <c:ext xmlns:c16="http://schemas.microsoft.com/office/drawing/2014/chart" uri="{C3380CC4-5D6E-409C-BE32-E72D297353CC}">
              <c16:uniqueId val="{00000000-CC0F-41E3-8AE4-0DAFF8433CBF}"/>
            </c:ext>
          </c:extLst>
        </c:ser>
        <c:ser>
          <c:idx val="1"/>
          <c:order val="1"/>
          <c:tx>
            <c:strRef>
              <c:f>Overview!$B$60</c:f>
              <c:strCache>
                <c:ptCount val="1"/>
                <c:pt idx="0">
                  <c:v>Tier 2 (Bio-diesel or RU2)</c:v>
                </c:pt>
              </c:strCache>
            </c:strRef>
          </c:tx>
          <c:spPr>
            <a:solidFill>
              <a:srgbClr val="C28080"/>
            </a:solidFill>
            <a:ln w="0">
              <a:noFill/>
              <a:prstDash val="solid"/>
            </a:ln>
          </c:spPr>
          <c:invertIfNegative val="0"/>
          <c:dLbls>
            <c:dLbl>
              <c:idx val="0"/>
              <c:numFmt formatCode="#,##0;\-#,##0;;" sourceLinked="0"/>
              <c:spPr>
                <a:solidFill>
                  <a:srgbClr val="C28080"/>
                </a:solidFill>
                <a:ln>
                  <a:prstDash val="solid"/>
                </a:ln>
              </c:spPr>
              <c:txPr>
                <a:bodyPr wrap="square"/>
                <a:lstStyle/>
                <a:p>
                  <a:pPr>
                    <a:defRPr lang="ja-JP" sz="900" b="1" strike="noStrike" spc="-1">
                      <a:solidFill>
                        <a:schemeClr val="bg1"/>
                      </a:solidFill>
                      <a:latin typeface="Calibri"/>
                    </a:defRPr>
                  </a:pPr>
                  <a:endParaRPr lang="en-US"/>
                </a:p>
              </c:txPr>
              <c:dLblPos val="ctr"/>
              <c:showLegendKey val="0"/>
              <c:showVal val="1"/>
              <c:showCatName val="0"/>
              <c:showSerName val="0"/>
              <c:showPercent val="0"/>
              <c:showBubbleSize val="1"/>
              <c:extLst>
                <c:ext xmlns:c16="http://schemas.microsoft.com/office/drawing/2014/chart" uri="{C3380CC4-5D6E-409C-BE32-E72D297353CC}">
                  <c16:uniqueId val="{00000002-4AD3-4056-880D-A99A7BE75C12}"/>
                </c:ext>
              </c:extLst>
            </c:dLbl>
            <c:numFmt formatCode="#,##0;\-#,##0;;" sourceLinked="0"/>
            <c:spPr>
              <a:solidFill>
                <a:srgbClr val="FAC8C2"/>
              </a:solidFill>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Overview!$C$60</c:f>
              <c:numCache>
                <c:formatCode>0</c:formatCode>
                <c:ptCount val="1"/>
                <c:pt idx="0">
                  <c:v>326.16994274809173</c:v>
                </c:pt>
              </c:numCache>
            </c:numRef>
          </c:val>
          <c:extLst>
            <c:ext xmlns:c16="http://schemas.microsoft.com/office/drawing/2014/chart" uri="{C3380CC4-5D6E-409C-BE32-E72D297353CC}">
              <c16:uniqueId val="{00000001-CC0F-41E3-8AE4-0DAFF8433CBF}"/>
            </c:ext>
          </c:extLst>
        </c:ser>
        <c:ser>
          <c:idx val="2"/>
          <c:order val="2"/>
          <c:tx>
            <c:strRef>
              <c:f>Overview!$B$61</c:f>
              <c:strCache>
                <c:ptCount val="1"/>
                <c:pt idx="0">
                  <c:v>Tier 1 (RU1)</c:v>
                </c:pt>
              </c:strCache>
            </c:strRef>
          </c:tx>
          <c:spPr>
            <a:solidFill>
              <a:srgbClr val="FFD966"/>
            </a:solidFill>
            <a:ln w="0">
              <a:noFill/>
              <a:prstDash val="solid"/>
            </a:ln>
          </c:spPr>
          <c:invertIfNegative val="0"/>
          <c:dPt>
            <c:idx val="0"/>
            <c:invertIfNegative val="0"/>
            <c:bubble3D val="0"/>
            <c:extLst>
              <c:ext xmlns:c16="http://schemas.microsoft.com/office/drawing/2014/chart" uri="{C3380CC4-5D6E-409C-BE32-E72D297353CC}">
                <c16:uniqueId val="{00000003-CC0F-41E3-8AE4-0DAFF8433CBF}"/>
              </c:ext>
            </c:extLst>
          </c:dPt>
          <c:dLbls>
            <c:dLbl>
              <c:idx val="0"/>
              <c:numFmt formatCode="#,##0;\-#,##0;;" sourceLinked="0"/>
              <c:spPr>
                <a:solidFill>
                  <a:srgbClr val="FFD966"/>
                </a:solidFill>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extLst>
                <c:ext xmlns:c16="http://schemas.microsoft.com/office/drawing/2014/chart" uri="{C3380CC4-5D6E-409C-BE32-E72D297353CC}">
                  <c16:uniqueId val="{00000003-CC0F-41E3-8AE4-0DAFF8433CBF}"/>
                </c:ext>
              </c:extLst>
            </c:dLbl>
            <c:numFmt formatCode="#,##0;\-#,##0;;" sourceLinked="0"/>
            <c:spPr>
              <a:solidFill>
                <a:srgbClr val="FFD966"/>
              </a:solidFill>
              <a:ln>
                <a:prstDash val="solid"/>
              </a:ln>
            </c:spPr>
            <c:txPr>
              <a:bodyPr wrap="square"/>
              <a:lstStyle/>
              <a:p>
                <a:pPr>
                  <a:defRPr lang="ja-JP" sz="900" b="0" strike="noStrike" spc="-1">
                    <a:solidFill>
                      <a:srgbClr val="40404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Overview!$C$61</c:f>
              <c:numCache>
                <c:formatCode>0</c:formatCode>
                <c:ptCount val="1"/>
                <c:pt idx="0">
                  <c:v>49.971479999999936</c:v>
                </c:pt>
              </c:numCache>
            </c:numRef>
          </c:val>
          <c:extLst>
            <c:ext xmlns:c16="http://schemas.microsoft.com/office/drawing/2014/chart" uri="{C3380CC4-5D6E-409C-BE32-E72D297353CC}">
              <c16:uniqueId val="{00000004-CC0F-41E3-8AE4-0DAFF8433CBF}"/>
            </c:ext>
          </c:extLst>
        </c:ser>
        <c:dLbls>
          <c:showLegendKey val="0"/>
          <c:showVal val="0"/>
          <c:showCatName val="0"/>
          <c:showSerName val="0"/>
          <c:showPercent val="0"/>
          <c:showBubbleSize val="0"/>
        </c:dLbls>
        <c:gapWidth val="150"/>
        <c:overlap val="100"/>
        <c:axId val="11242403"/>
        <c:axId val="54185466"/>
      </c:barChart>
      <c:lineChart>
        <c:grouping val="stacked"/>
        <c:varyColors val="0"/>
        <c:ser>
          <c:idx val="3"/>
          <c:order val="3"/>
          <c:tx>
            <c:strRef>
              <c:f>Overview!$B$62</c:f>
              <c:strCache>
                <c:ptCount val="1"/>
                <c:pt idx="0">
                  <c:v>Total S1</c:v>
                </c:pt>
              </c:strCache>
            </c:strRef>
          </c:tx>
          <c:spPr>
            <a:ln w="28440" cap="rnd">
              <a:solidFill>
                <a:srgbClr val="5B9BD5"/>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Calibri"/>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Overview!$C$62</c:f>
              <c:numCache>
                <c:formatCode>0</c:formatCode>
                <c:ptCount val="1"/>
                <c:pt idx="0">
                  <c:v>942.6414227480916</c:v>
                </c:pt>
              </c:numCache>
            </c:numRef>
          </c:val>
          <c:smooth val="0"/>
          <c:extLst>
            <c:ext xmlns:c16="http://schemas.microsoft.com/office/drawing/2014/chart" uri="{C3380CC4-5D6E-409C-BE32-E72D297353CC}">
              <c16:uniqueId val="{00000005-CC0F-41E3-8AE4-0DAFF8433CBF}"/>
            </c:ext>
          </c:extLst>
        </c:ser>
        <c:dLbls>
          <c:showLegendKey val="0"/>
          <c:showVal val="0"/>
          <c:showCatName val="0"/>
          <c:showSerName val="0"/>
          <c:showPercent val="0"/>
          <c:showBubbleSize val="0"/>
        </c:dLbls>
        <c:hiLowLines>
          <c:spPr>
            <a:ln w="0">
              <a:noFill/>
              <a:prstDash val="solid"/>
            </a:ln>
          </c:spPr>
        </c:hiLowLines>
        <c:marker val="1"/>
        <c:smooth val="0"/>
        <c:axId val="11242403"/>
        <c:axId val="54185466"/>
      </c:lineChart>
      <c:catAx>
        <c:axId val="11242403"/>
        <c:scaling>
          <c:orientation val="minMax"/>
        </c:scaling>
        <c:delete val="1"/>
        <c:axPos val="b"/>
        <c:numFmt formatCode="General" sourceLinked="1"/>
        <c:majorTickMark val="none"/>
        <c:minorTickMark val="none"/>
        <c:tickLblPos val="nextTo"/>
        <c:crossAx val="54185466"/>
        <c:crosses val="autoZero"/>
        <c:auto val="1"/>
        <c:lblAlgn val="ctr"/>
        <c:lblOffset val="100"/>
        <c:noMultiLvlLbl val="0"/>
      </c:catAx>
      <c:valAx>
        <c:axId val="54185466"/>
        <c:scaling>
          <c:orientation val="minMax"/>
          <c:max val="2700"/>
          <c:min val="-100"/>
        </c:scaling>
        <c:delete val="1"/>
        <c:axPos val="l"/>
        <c:title>
          <c:tx>
            <c:rich>
              <a:bodyPr rot="-5400000"/>
              <a:lstStyle/>
              <a:p>
                <a:pPr>
                  <a:defRPr lang="en-US" sz="1000" b="0" strike="noStrike" spc="-1">
                    <a:solidFill>
                      <a:srgbClr val="595959"/>
                    </a:solidFill>
                    <a:latin typeface="Calibri"/>
                  </a:defRPr>
                </a:pPr>
                <a:r>
                  <a:rPr lang="en-US" sz="1000" b="0" strike="noStrike" spc="-1">
                    <a:solidFill>
                      <a:srgbClr val="595959"/>
                    </a:solidFill>
                    <a:latin typeface="Calibri"/>
                  </a:rPr>
                  <a:t>USD/tLSFOeq</a:t>
                </a:r>
              </a:p>
            </c:rich>
          </c:tx>
          <c:overlay val="0"/>
          <c:spPr>
            <a:noFill/>
            <a:ln w="0">
              <a:noFill/>
              <a:prstDash val="solid"/>
            </a:ln>
          </c:spPr>
        </c:title>
        <c:numFmt formatCode="0" sourceLinked="1"/>
        <c:majorTickMark val="out"/>
        <c:minorTickMark val="none"/>
        <c:tickLblPos val="nextTo"/>
        <c:crossAx val="11242403"/>
        <c:crosses val="autoZero"/>
        <c:crossBetween val="between"/>
      </c:valAx>
    </c:plotArea>
    <c:legend>
      <c:legendPos val="b"/>
      <c:legendEntry>
        <c:idx val="3"/>
        <c:delete val="1"/>
      </c:legendEntry>
      <c:layout>
        <c:manualLayout>
          <c:xMode val="edge"/>
          <c:yMode val="edge"/>
          <c:x val="3.5978629518064797E-2"/>
          <c:y val="0.83290099049978705"/>
          <c:w val="0.93074549586242805"/>
          <c:h val="0.16242833215843999"/>
        </c:manualLayout>
      </c:layout>
      <c:overlay val="0"/>
      <c:spPr>
        <a:noFill/>
        <a:ln w="0">
          <a:noFill/>
          <a:prstDash val="solid"/>
        </a:ln>
      </c:spPr>
      <c:txPr>
        <a:bodyPr/>
        <a:lstStyle/>
        <a:p>
          <a:pPr>
            <a:defRPr lang="ja-JP" sz="1000" b="0" strike="noStrike" spc="-1">
              <a:solidFill>
                <a:srgbClr val="595959"/>
              </a:solidFill>
              <a:latin typeface="Calibri"/>
            </a:defRPr>
          </a:pPr>
          <a:endParaRPr lang="en-US"/>
        </a:p>
      </c:txPr>
    </c:legend>
    <c:plotVisOnly val="0"/>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Overview!$E$58</c:f>
          <c:strCache>
            <c:ptCount val="1"/>
            <c:pt idx="0">
              <c:v>2035 - Strategy 2: LNG + bio-methane  |  Total 692 USD/tVLSFOeq</c:v>
            </c:pt>
          </c:strCache>
        </c:strRef>
      </c:tx>
      <c:layout>
        <c:manualLayout>
          <c:xMode val="edge"/>
          <c:yMode val="edge"/>
          <c:x val="0.13527300207821699"/>
          <c:y val="6.4377999261720206E-2"/>
        </c:manualLayout>
      </c:layout>
      <c:overlay val="0"/>
      <c:spPr>
        <a:noFill/>
        <a:ln w="0">
          <a:noFill/>
          <a:prstDash val="solid"/>
        </a:ln>
      </c:spPr>
      <c:txPr>
        <a:bodyPr rot="0"/>
        <a:lstStyle/>
        <a:p>
          <a:pPr>
            <a:defRPr lang="en-GB" sz="1200" b="0" strike="noStrike" spc="-1">
              <a:solidFill>
                <a:srgbClr val="595959"/>
              </a:solidFill>
              <a:latin typeface="Calibri Light"/>
            </a:defRPr>
          </a:pPr>
          <a:endParaRPr lang="en-US"/>
        </a:p>
      </c:txPr>
    </c:title>
    <c:autoTitleDeleted val="0"/>
    <c:plotArea>
      <c:layout>
        <c:manualLayout>
          <c:layoutTarget val="inner"/>
          <c:xMode val="edge"/>
          <c:yMode val="edge"/>
          <c:x val="0"/>
          <c:y val="0.21550387596899201"/>
          <c:w val="0.97449461552994499"/>
          <c:h val="0.58848283499446297"/>
        </c:manualLayout>
      </c:layout>
      <c:barChart>
        <c:barDir val="col"/>
        <c:grouping val="stacked"/>
        <c:varyColors val="0"/>
        <c:ser>
          <c:idx val="0"/>
          <c:order val="0"/>
          <c:tx>
            <c:strRef>
              <c:f>Overview!$E$59</c:f>
              <c:strCache>
                <c:ptCount val="1"/>
                <c:pt idx="0">
                  <c:v>LNG fuel</c:v>
                </c:pt>
              </c:strCache>
            </c:strRef>
          </c:tx>
          <c:spPr>
            <a:solidFill>
              <a:srgbClr val="808080"/>
            </a:solidFill>
            <a:ln w="0">
              <a:noFill/>
              <a:prstDash val="solid"/>
            </a:ln>
          </c:spPr>
          <c:invertIfNegative val="0"/>
          <c:dPt>
            <c:idx val="0"/>
            <c:invertIfNegative val="0"/>
            <c:bubble3D val="0"/>
            <c:spPr>
              <a:solidFill>
                <a:srgbClr val="A6A6A6"/>
              </a:solidFill>
              <a:ln w="0">
                <a:noFill/>
                <a:prstDash val="solid"/>
              </a:ln>
            </c:spPr>
            <c:extLst>
              <c:ext xmlns:c16="http://schemas.microsoft.com/office/drawing/2014/chart" uri="{C3380CC4-5D6E-409C-BE32-E72D297353CC}">
                <c16:uniqueId val="{00000001-0374-46D3-B1BC-713A6D3CDFCA}"/>
              </c:ext>
            </c:extLst>
          </c:dPt>
          <c:dLbls>
            <c:dLbl>
              <c:idx val="0"/>
              <c:spPr>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extLst>
                <c:ext xmlns:c16="http://schemas.microsoft.com/office/drawing/2014/chart" uri="{C3380CC4-5D6E-409C-BE32-E72D297353CC}">
                  <c16:uniqueId val="{00000001-0374-46D3-B1BC-713A6D3CDFCA}"/>
                </c:ext>
              </c:extLst>
            </c:dLbl>
            <c:spPr>
              <a:noFill/>
              <a:ln>
                <a:noFill/>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Overview!$F$59</c:f>
              <c:numCache>
                <c:formatCode>0</c:formatCode>
                <c:ptCount val="1"/>
                <c:pt idx="0">
                  <c:v>422.3</c:v>
                </c:pt>
              </c:numCache>
            </c:numRef>
          </c:val>
          <c:extLst>
            <c:ext xmlns:c16="http://schemas.microsoft.com/office/drawing/2014/chart" uri="{C3380CC4-5D6E-409C-BE32-E72D297353CC}">
              <c16:uniqueId val="{00000002-0374-46D3-B1BC-713A6D3CDFCA}"/>
            </c:ext>
          </c:extLst>
        </c:ser>
        <c:ser>
          <c:idx val="1"/>
          <c:order val="1"/>
          <c:tx>
            <c:strRef>
              <c:f>Overview!$E$60</c:f>
              <c:strCache>
                <c:ptCount val="1"/>
                <c:pt idx="0">
                  <c:v>Tier 2 (Bio-methane or RU2)</c:v>
                </c:pt>
              </c:strCache>
            </c:strRef>
          </c:tx>
          <c:spPr>
            <a:solidFill>
              <a:srgbClr val="C28080"/>
            </a:solidFill>
            <a:ln w="0">
              <a:noFill/>
              <a:prstDash val="solid"/>
            </a:ln>
          </c:spPr>
          <c:invertIfNegative val="0"/>
          <c:dLbls>
            <c:numFmt formatCode="#,##0;\-#,##0;;" sourceLinked="0"/>
            <c:spPr>
              <a:solidFill>
                <a:srgbClr val="C28080"/>
              </a:solidFill>
              <a:ln>
                <a:prstDash val="solid"/>
              </a:ln>
            </c:spPr>
            <c:txPr>
              <a:bodyPr wrap="square"/>
              <a:lstStyle/>
              <a:p>
                <a:pPr>
                  <a:defRPr lang="ja-JP" sz="900" b="1" strike="noStrike" spc="-1">
                    <a:solidFill>
                      <a:schemeClr val="bg1"/>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Overview!$F$60</c:f>
              <c:numCache>
                <c:formatCode>0</c:formatCode>
                <c:ptCount val="1"/>
                <c:pt idx="0">
                  <c:v>219.59379954936171</c:v>
                </c:pt>
              </c:numCache>
            </c:numRef>
          </c:val>
          <c:extLst>
            <c:ext xmlns:c16="http://schemas.microsoft.com/office/drawing/2014/chart" uri="{C3380CC4-5D6E-409C-BE32-E72D297353CC}">
              <c16:uniqueId val="{00000003-0374-46D3-B1BC-713A6D3CDFCA}"/>
            </c:ext>
          </c:extLst>
        </c:ser>
        <c:ser>
          <c:idx val="2"/>
          <c:order val="2"/>
          <c:tx>
            <c:strRef>
              <c:f>Overview!$E$61</c:f>
              <c:strCache>
                <c:ptCount val="1"/>
                <c:pt idx="0">
                  <c:v>Tier 1 (RU1)</c:v>
                </c:pt>
              </c:strCache>
            </c:strRef>
          </c:tx>
          <c:spPr>
            <a:solidFill>
              <a:srgbClr val="FFD966"/>
            </a:solidFill>
            <a:ln w="0">
              <a:noFill/>
              <a:prstDash val="solid"/>
            </a:ln>
          </c:spPr>
          <c:invertIfNegative val="0"/>
          <c:dPt>
            <c:idx val="0"/>
            <c:invertIfNegative val="0"/>
            <c:bubble3D val="0"/>
            <c:extLst>
              <c:ext xmlns:c16="http://schemas.microsoft.com/office/drawing/2014/chart" uri="{C3380CC4-5D6E-409C-BE32-E72D297353CC}">
                <c16:uniqueId val="{00000005-0374-46D3-B1BC-713A6D3CDFCA}"/>
              </c:ext>
            </c:extLst>
          </c:dPt>
          <c:dLbls>
            <c:numFmt formatCode="#,##0;\-#,##0;;" sourceLinked="0"/>
            <c:spPr>
              <a:solidFill>
                <a:srgbClr val="FFD966"/>
              </a:solidFill>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Overview!$F$61</c:f>
              <c:numCache>
                <c:formatCode>0</c:formatCode>
                <c:ptCount val="1"/>
                <c:pt idx="0">
                  <c:v>49.971479999999936</c:v>
                </c:pt>
              </c:numCache>
            </c:numRef>
          </c:val>
          <c:extLst>
            <c:ext xmlns:c16="http://schemas.microsoft.com/office/drawing/2014/chart" uri="{C3380CC4-5D6E-409C-BE32-E72D297353CC}">
              <c16:uniqueId val="{00000006-0374-46D3-B1BC-713A6D3CDFCA}"/>
            </c:ext>
          </c:extLst>
        </c:ser>
        <c:ser>
          <c:idx val="3"/>
          <c:order val="3"/>
          <c:tx>
            <c:strRef>
              <c:f>Overview!$E$62</c:f>
              <c:strCache>
                <c:ptCount val="1"/>
                <c:pt idx="0">
                  <c:v>GFI Surplus</c:v>
                </c:pt>
              </c:strCache>
            </c:strRef>
          </c:tx>
          <c:spPr>
            <a:pattFill prst="dkDnDiag">
              <a:fgClr>
                <a:schemeClr val="bg1">
                  <a:lumMod val="50000"/>
                </a:schemeClr>
              </a:fgClr>
              <a:bgClr>
                <a:srgbClr val="FFFFFF"/>
              </a:bgClr>
            </a:pattFill>
            <a:ln w="0">
              <a:noFill/>
              <a:prstDash val="solid"/>
            </a:ln>
          </c:spPr>
          <c:invertIfNegative val="0"/>
          <c:dPt>
            <c:idx val="0"/>
            <c:invertIfNegative val="0"/>
            <c:bubble3D val="0"/>
            <c:extLst>
              <c:ext xmlns:c16="http://schemas.microsoft.com/office/drawing/2014/chart" uri="{C3380CC4-5D6E-409C-BE32-E72D297353CC}">
                <c16:uniqueId val="{00000007-0374-46D3-B1BC-713A6D3CDFCA}"/>
              </c:ext>
            </c:extLst>
          </c:dPt>
          <c:dLbls>
            <c:dLbl>
              <c:idx val="0"/>
              <c:numFmt formatCode="&quot;-&quot;#,##0;General;0" sourceLinked="0"/>
              <c:spPr>
                <a:solidFill>
                  <a:srgbClr val="FFFFFF"/>
                </a:solidFill>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extLst>
                <c:ext xmlns:c16="http://schemas.microsoft.com/office/drawing/2014/chart" uri="{C3380CC4-5D6E-409C-BE32-E72D297353CC}">
                  <c16:uniqueId val="{00000007-0374-46D3-B1BC-713A6D3CDFCA}"/>
                </c:ext>
              </c:extLst>
            </c:dLbl>
            <c:numFmt formatCode="&quot;-&quot;#,##0;General;0" sourceLinked="0"/>
            <c:spPr>
              <a:solidFill>
                <a:srgbClr val="F2F2F2"/>
              </a:solidFill>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Overview!$F$62</c:f>
              <c:numCache>
                <c:formatCode>0</c:formatCode>
                <c:ptCount val="1"/>
                <c:pt idx="0">
                  <c:v>0</c:v>
                </c:pt>
              </c:numCache>
            </c:numRef>
          </c:val>
          <c:extLst>
            <c:ext xmlns:c16="http://schemas.microsoft.com/office/drawing/2014/chart" uri="{C3380CC4-5D6E-409C-BE32-E72D297353CC}">
              <c16:uniqueId val="{00000008-0374-46D3-B1BC-713A6D3CDFCA}"/>
            </c:ext>
          </c:extLst>
        </c:ser>
        <c:dLbls>
          <c:showLegendKey val="0"/>
          <c:showVal val="0"/>
          <c:showCatName val="0"/>
          <c:showSerName val="0"/>
          <c:showPercent val="0"/>
          <c:showBubbleSize val="0"/>
        </c:dLbls>
        <c:gapWidth val="150"/>
        <c:overlap val="100"/>
        <c:axId val="4007867"/>
        <c:axId val="37301490"/>
      </c:barChart>
      <c:lineChart>
        <c:grouping val="stacked"/>
        <c:varyColors val="0"/>
        <c:ser>
          <c:idx val="4"/>
          <c:order val="4"/>
          <c:tx>
            <c:strRef>
              <c:f>Overview!$E$63</c:f>
              <c:strCache>
                <c:ptCount val="1"/>
                <c:pt idx="0">
                  <c:v>Total S2</c:v>
                </c:pt>
              </c:strCache>
            </c:strRef>
          </c:tx>
          <c:spPr>
            <a:ln w="28440" cap="rnd">
              <a:solidFill>
                <a:srgbClr val="4472C4"/>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Arial"/>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Overview!$F$63</c:f>
              <c:numCache>
                <c:formatCode>0</c:formatCode>
                <c:ptCount val="1"/>
                <c:pt idx="0">
                  <c:v>691.86527954936162</c:v>
                </c:pt>
              </c:numCache>
            </c:numRef>
          </c:val>
          <c:smooth val="0"/>
          <c:extLst>
            <c:ext xmlns:c16="http://schemas.microsoft.com/office/drawing/2014/chart" uri="{C3380CC4-5D6E-409C-BE32-E72D297353CC}">
              <c16:uniqueId val="{00000009-0374-46D3-B1BC-713A6D3CDFCA}"/>
            </c:ext>
          </c:extLst>
        </c:ser>
        <c:dLbls>
          <c:showLegendKey val="0"/>
          <c:showVal val="0"/>
          <c:showCatName val="0"/>
          <c:showSerName val="0"/>
          <c:showPercent val="0"/>
          <c:showBubbleSize val="0"/>
        </c:dLbls>
        <c:hiLowLines>
          <c:spPr>
            <a:ln w="0">
              <a:noFill/>
              <a:prstDash val="solid"/>
            </a:ln>
          </c:spPr>
        </c:hiLowLines>
        <c:marker val="1"/>
        <c:smooth val="0"/>
        <c:axId val="4007867"/>
        <c:axId val="37301490"/>
      </c:lineChart>
      <c:catAx>
        <c:axId val="4007867"/>
        <c:scaling>
          <c:orientation val="minMax"/>
        </c:scaling>
        <c:delete val="1"/>
        <c:axPos val="b"/>
        <c:numFmt formatCode="General" sourceLinked="1"/>
        <c:majorTickMark val="none"/>
        <c:minorTickMark val="none"/>
        <c:tickLblPos val="nextTo"/>
        <c:crossAx val="37301490"/>
        <c:crosses val="autoZero"/>
        <c:auto val="1"/>
        <c:lblAlgn val="ctr"/>
        <c:lblOffset val="100"/>
        <c:noMultiLvlLbl val="0"/>
      </c:catAx>
      <c:valAx>
        <c:axId val="37301490"/>
        <c:scaling>
          <c:orientation val="minMax"/>
          <c:max val="2700"/>
          <c:min val="-100"/>
        </c:scaling>
        <c:delete val="1"/>
        <c:axPos val="l"/>
        <c:title>
          <c:tx>
            <c:rich>
              <a:bodyPr rot="-5400000"/>
              <a:lstStyle/>
              <a:p>
                <a:pPr>
                  <a:defRPr lang="en-US" sz="1000" b="0" strike="noStrike" spc="-1">
                    <a:solidFill>
                      <a:srgbClr val="595959"/>
                    </a:solidFill>
                    <a:latin typeface="Calibri"/>
                  </a:defRPr>
                </a:pPr>
                <a:r>
                  <a:rPr lang="en-US" sz="1000" b="0" strike="noStrike" spc="-1">
                    <a:solidFill>
                      <a:srgbClr val="595959"/>
                    </a:solidFill>
                    <a:latin typeface="Calibri"/>
                  </a:rPr>
                  <a:t>USD/tLSFOeq</a:t>
                </a:r>
              </a:p>
            </c:rich>
          </c:tx>
          <c:overlay val="0"/>
          <c:spPr>
            <a:noFill/>
            <a:ln w="0">
              <a:noFill/>
              <a:prstDash val="solid"/>
            </a:ln>
          </c:spPr>
        </c:title>
        <c:numFmt formatCode="0" sourceLinked="1"/>
        <c:majorTickMark val="out"/>
        <c:minorTickMark val="none"/>
        <c:tickLblPos val="nextTo"/>
        <c:crossAx val="4007867"/>
        <c:crosses val="autoZero"/>
        <c:crossBetween val="between"/>
      </c:valAx>
    </c:plotArea>
    <c:legend>
      <c:legendPos val="r"/>
      <c:legendEntry>
        <c:idx val="4"/>
        <c:delete val="1"/>
      </c:legendEntry>
      <c:layout>
        <c:manualLayout>
          <c:xMode val="edge"/>
          <c:yMode val="edge"/>
          <c:x val="4.4888770091789099E-3"/>
          <c:y val="0.81454502580543897"/>
          <c:w val="0.99551112299082101"/>
          <c:h val="0.183035952378413"/>
        </c:manualLayout>
      </c:layout>
      <c:overlay val="0"/>
      <c:spPr>
        <a:noFill/>
        <a:ln w="0">
          <a:noFill/>
          <a:prstDash val="solid"/>
        </a:ln>
      </c:spPr>
      <c:txPr>
        <a:bodyPr/>
        <a:lstStyle/>
        <a:p>
          <a:pPr>
            <a:defRPr lang="ja-JP" sz="1000" b="0" strike="noStrike" spc="-1">
              <a:solidFill>
                <a:srgbClr val="595959"/>
              </a:solidFill>
              <a:latin typeface="Calibri"/>
            </a:defRPr>
          </a:pPr>
          <a:endParaRPr lang="en-US"/>
        </a:p>
      </c:txPr>
    </c:legend>
    <c:plotVisOnly val="0"/>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Overview!$H$58</c:f>
          <c:strCache>
            <c:ptCount val="1"/>
            <c:pt idx="0">
              <c:v>2035 - Strategy 3: VLSFO + ZNZ  |  Total 1049 USD/tVLSFOeq</c:v>
            </c:pt>
          </c:strCache>
        </c:strRef>
      </c:tx>
      <c:layout>
        <c:manualLayout>
          <c:xMode val="edge"/>
          <c:yMode val="edge"/>
          <c:x val="0.13709241578094"/>
          <c:y val="6.1268177456263402E-2"/>
        </c:manualLayout>
      </c:layout>
      <c:overlay val="0"/>
      <c:spPr>
        <a:noFill/>
        <a:ln w="0">
          <a:noFill/>
          <a:prstDash val="solid"/>
        </a:ln>
      </c:spPr>
      <c:txPr>
        <a:bodyPr rot="0"/>
        <a:lstStyle/>
        <a:p>
          <a:pPr>
            <a:defRPr lang="en-GB" sz="1200" b="0" strike="noStrike" spc="-1">
              <a:solidFill>
                <a:srgbClr val="595959"/>
              </a:solidFill>
              <a:latin typeface="Calibri Light"/>
            </a:defRPr>
          </a:pPr>
          <a:endParaRPr lang="en-US"/>
        </a:p>
      </c:txPr>
    </c:title>
    <c:autoTitleDeleted val="0"/>
    <c:plotArea>
      <c:layout>
        <c:manualLayout>
          <c:layoutTarget val="inner"/>
          <c:xMode val="edge"/>
          <c:yMode val="edge"/>
          <c:x val="6.4853179607278003E-3"/>
          <c:y val="0.21591496272237401"/>
          <c:w val="0.97513961448387698"/>
          <c:h val="0.588912674392855"/>
        </c:manualLayout>
      </c:layout>
      <c:barChart>
        <c:barDir val="col"/>
        <c:grouping val="stacked"/>
        <c:varyColors val="0"/>
        <c:ser>
          <c:idx val="0"/>
          <c:order val="0"/>
          <c:tx>
            <c:strRef>
              <c:f>Overview!$H$59</c:f>
              <c:strCache>
                <c:ptCount val="1"/>
                <c:pt idx="0">
                  <c:v>VLSFO fuel</c:v>
                </c:pt>
              </c:strCache>
            </c:strRef>
          </c:tx>
          <c:spPr>
            <a:solidFill>
              <a:srgbClr val="404040"/>
            </a:solidFill>
            <a:ln w="0">
              <a:noFill/>
              <a:prstDash val="solid"/>
            </a:ln>
          </c:spPr>
          <c:invertIfNegative val="0"/>
          <c:dLbls>
            <c:spPr>
              <a:noFill/>
              <a:ln>
                <a:noFill/>
                <a:prstDash val="solid"/>
              </a:ln>
            </c:spPr>
            <c:txPr>
              <a:bodyPr wrap="square"/>
              <a:lstStyle/>
              <a:p>
                <a:pPr>
                  <a:defRPr lang="ja-JP" sz="900" b="1" strike="noStrike" spc="-1">
                    <a:solidFill>
                      <a:srgbClr val="FFFFFF"/>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Overview!$I$59</c:f>
              <c:numCache>
                <c:formatCode>0</c:formatCode>
                <c:ptCount val="1"/>
                <c:pt idx="0">
                  <c:v>445.52526116838487</c:v>
                </c:pt>
              </c:numCache>
            </c:numRef>
          </c:val>
          <c:extLst>
            <c:ext xmlns:c16="http://schemas.microsoft.com/office/drawing/2014/chart" uri="{C3380CC4-5D6E-409C-BE32-E72D297353CC}">
              <c16:uniqueId val="{00000000-0693-4E4B-8E32-A585DAB75DF9}"/>
            </c:ext>
          </c:extLst>
        </c:ser>
        <c:ser>
          <c:idx val="1"/>
          <c:order val="1"/>
          <c:tx>
            <c:strRef>
              <c:f>Overview!$H$60</c:f>
              <c:strCache>
                <c:ptCount val="1"/>
                <c:pt idx="0">
                  <c:v>Tier 2 (ZNZ or RU2)</c:v>
                </c:pt>
              </c:strCache>
            </c:strRef>
          </c:tx>
          <c:spPr>
            <a:solidFill>
              <a:srgbClr val="C28080"/>
            </a:solidFill>
            <a:ln w="0">
              <a:noFill/>
              <a:prstDash val="solid"/>
            </a:ln>
          </c:spPr>
          <c:invertIfNegative val="0"/>
          <c:dLbls>
            <c:numFmt formatCode="#,##0;\-#,##0;;" sourceLinked="0"/>
            <c:spPr>
              <a:noFill/>
              <a:ln>
                <a:noFill/>
                <a:prstDash val="solid"/>
              </a:ln>
            </c:spPr>
            <c:txPr>
              <a:bodyPr wrap="square"/>
              <a:lstStyle/>
              <a:p>
                <a:pPr>
                  <a:defRPr lang="ja-JP" sz="900" b="1" strike="noStrike" spc="-1">
                    <a:solidFill>
                      <a:srgbClr val="FFFFFF"/>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Overview!$I$60</c:f>
              <c:numCache>
                <c:formatCode>0</c:formatCode>
                <c:ptCount val="1"/>
                <c:pt idx="0">
                  <c:v>553.38696735395217</c:v>
                </c:pt>
              </c:numCache>
            </c:numRef>
          </c:val>
          <c:extLst>
            <c:ext xmlns:c16="http://schemas.microsoft.com/office/drawing/2014/chart" uri="{C3380CC4-5D6E-409C-BE32-E72D297353CC}">
              <c16:uniqueId val="{00000001-0693-4E4B-8E32-A585DAB75DF9}"/>
            </c:ext>
          </c:extLst>
        </c:ser>
        <c:ser>
          <c:idx val="2"/>
          <c:order val="2"/>
          <c:tx>
            <c:strRef>
              <c:f>Overview!$H$61</c:f>
              <c:strCache>
                <c:ptCount val="1"/>
                <c:pt idx="0">
                  <c:v>Tier 1 (RU1)</c:v>
                </c:pt>
              </c:strCache>
            </c:strRef>
          </c:tx>
          <c:spPr>
            <a:solidFill>
              <a:srgbClr val="FFD966"/>
            </a:solidFill>
            <a:ln w="0">
              <a:noFill/>
              <a:prstDash val="solid"/>
            </a:ln>
          </c:spPr>
          <c:invertIfNegative val="0"/>
          <c:dPt>
            <c:idx val="0"/>
            <c:invertIfNegative val="0"/>
            <c:bubble3D val="0"/>
            <c:extLst>
              <c:ext xmlns:c16="http://schemas.microsoft.com/office/drawing/2014/chart" uri="{C3380CC4-5D6E-409C-BE32-E72D297353CC}">
                <c16:uniqueId val="{00000003-0693-4E4B-8E32-A585DAB75DF9}"/>
              </c:ext>
            </c:extLst>
          </c:dPt>
          <c:dLbls>
            <c:numFmt formatCode="#,##0;\-#,##0;;" sourceLinked="0"/>
            <c:spPr>
              <a:solidFill>
                <a:srgbClr val="FFD966"/>
              </a:solidFill>
              <a:ln>
                <a:prstDash val="solid"/>
              </a:ln>
            </c:spPr>
            <c:txPr>
              <a:bodyPr wrap="square"/>
              <a:lstStyle/>
              <a:p>
                <a:pPr>
                  <a:defRPr lang="ja-JP" sz="900" b="1" strike="noStrike" spc="-1">
                    <a:solidFill>
                      <a:srgbClr val="00000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Overview!$I$61</c:f>
              <c:numCache>
                <c:formatCode>0</c:formatCode>
                <c:ptCount val="1"/>
                <c:pt idx="0">
                  <c:v>49.971479999999936</c:v>
                </c:pt>
              </c:numCache>
            </c:numRef>
          </c:val>
          <c:extLst>
            <c:ext xmlns:c16="http://schemas.microsoft.com/office/drawing/2014/chart" uri="{C3380CC4-5D6E-409C-BE32-E72D297353CC}">
              <c16:uniqueId val="{00000004-0693-4E4B-8E32-A585DAB75DF9}"/>
            </c:ext>
          </c:extLst>
        </c:ser>
        <c:ser>
          <c:idx val="3"/>
          <c:order val="3"/>
          <c:tx>
            <c:strRef>
              <c:f>Overview!$H$62</c:f>
              <c:strCache>
                <c:ptCount val="1"/>
                <c:pt idx="0">
                  <c:v>ZNZ Reward</c:v>
                </c:pt>
              </c:strCache>
            </c:strRef>
          </c:tx>
          <c:spPr>
            <a:pattFill prst="dkUpDiag">
              <a:fgClr>
                <a:srgbClr val="A3C5BF"/>
              </a:fgClr>
              <a:bgClr>
                <a:schemeClr val="bg1"/>
              </a:bgClr>
            </a:pattFill>
            <a:ln w="0">
              <a:noFill/>
              <a:prstDash val="solid"/>
            </a:ln>
          </c:spPr>
          <c:invertIfNegative val="0"/>
          <c:dPt>
            <c:idx val="0"/>
            <c:invertIfNegative val="0"/>
            <c:bubble3D val="0"/>
            <c:extLst>
              <c:ext xmlns:c16="http://schemas.microsoft.com/office/drawing/2014/chart" uri="{C3380CC4-5D6E-409C-BE32-E72D297353CC}">
                <c16:uniqueId val="{00000006-0693-4E4B-8E32-A585DAB75DF9}"/>
              </c:ext>
            </c:extLst>
          </c:dPt>
          <c:dLbls>
            <c:dLbl>
              <c:idx val="0"/>
              <c:numFmt formatCode="&quot;-&quot;#,##0;General;0" sourceLinked="0"/>
              <c:spPr>
                <a:solidFill>
                  <a:schemeClr val="bg1"/>
                </a:solidFill>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extLst>
                <c:ext xmlns:c16="http://schemas.microsoft.com/office/drawing/2014/chart" uri="{C3380CC4-5D6E-409C-BE32-E72D297353CC}">
                  <c16:uniqueId val="{00000006-0693-4E4B-8E32-A585DAB75DF9}"/>
                </c:ext>
              </c:extLst>
            </c:dLbl>
            <c:numFmt formatCode="&quot;-&quot;#,##0;General;0" sourceLinked="0"/>
            <c:spPr>
              <a:solidFill>
                <a:schemeClr val="bg1"/>
              </a:solidFill>
              <a:ln>
                <a:prstDash val="solid"/>
              </a:ln>
            </c:spPr>
            <c:txPr>
              <a:bodyPr wrap="square"/>
              <a:lstStyle/>
              <a:p>
                <a:pPr>
                  <a:defRPr lang="ja-JP" sz="900" b="1" strike="noStrike" spc="-1">
                    <a:solidFill>
                      <a:srgbClr val="404040"/>
                    </a:solidFill>
                    <a:latin typeface="Calibri"/>
                  </a:defRPr>
                </a:pPr>
                <a:endParaRPr lang="en-US"/>
              </a:p>
            </c:txPr>
            <c:dLblPos val="ctr"/>
            <c:showLegendKey val="0"/>
            <c:showVal val="1"/>
            <c:showCatName val="0"/>
            <c:showSerName val="0"/>
            <c:showPercent val="0"/>
            <c:showBubbleSize val="1"/>
            <c:showLeaderLines val="0"/>
            <c:extLst>
              <c:ext xmlns:c15="http://schemas.microsoft.com/office/drawing/2012/chart" uri="{CE6537A1-D6FC-4f65-9D91-7224C49458BB}">
                <c15:showLeaderLines val="0"/>
              </c:ext>
            </c:extLst>
          </c:dLbls>
          <c:val>
            <c:numRef>
              <c:f>Overview!$I$62</c:f>
              <c:numCache>
                <c:formatCode>0</c:formatCode>
                <c:ptCount val="1"/>
                <c:pt idx="0">
                  <c:v>120.97473883161516</c:v>
                </c:pt>
              </c:numCache>
            </c:numRef>
          </c:val>
          <c:extLst>
            <c:ext xmlns:c16="http://schemas.microsoft.com/office/drawing/2014/chart" uri="{C3380CC4-5D6E-409C-BE32-E72D297353CC}">
              <c16:uniqueId val="{00000007-0693-4E4B-8E32-A585DAB75DF9}"/>
            </c:ext>
          </c:extLst>
        </c:ser>
        <c:dLbls>
          <c:showLegendKey val="0"/>
          <c:showVal val="0"/>
          <c:showCatName val="0"/>
          <c:showSerName val="0"/>
          <c:showPercent val="0"/>
          <c:showBubbleSize val="0"/>
        </c:dLbls>
        <c:gapWidth val="150"/>
        <c:overlap val="100"/>
        <c:axId val="6355993"/>
        <c:axId val="9097790"/>
      </c:barChart>
      <c:lineChart>
        <c:grouping val="stacked"/>
        <c:varyColors val="0"/>
        <c:ser>
          <c:idx val="4"/>
          <c:order val="4"/>
          <c:tx>
            <c:strRef>
              <c:f>Overview!$H$63</c:f>
              <c:strCache>
                <c:ptCount val="1"/>
                <c:pt idx="0">
                  <c:v>Total S3</c:v>
                </c:pt>
              </c:strCache>
            </c:strRef>
          </c:tx>
          <c:spPr>
            <a:ln w="28440" cap="rnd">
              <a:solidFill>
                <a:srgbClr val="4472C4"/>
              </a:solidFill>
              <a:prstDash val="solid"/>
              <a:round/>
            </a:ln>
          </c:spPr>
          <c:marker>
            <c:symbol val="none"/>
          </c:marker>
          <c:dLbls>
            <c:spPr>
              <a:noFill/>
              <a:ln>
                <a:noFill/>
                <a:prstDash val="solid"/>
              </a:ln>
            </c:spPr>
            <c:txPr>
              <a:bodyPr wrap="square"/>
              <a:lstStyle/>
              <a:p>
                <a:pPr>
                  <a:defRPr lang="ja-JP" sz="1000" b="0" strike="noStrike" spc="-1">
                    <a:solidFill>
                      <a:srgbClr val="000000"/>
                    </a:solidFill>
                    <a:latin typeface="Arial"/>
                  </a:defRPr>
                </a:pPr>
                <a:endParaRPr lang="en-US"/>
              </a:p>
            </c:txPr>
            <c:dLblPos val="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val>
            <c:numRef>
              <c:f>Overview!$I$63</c:f>
              <c:numCache>
                <c:formatCode>0</c:formatCode>
                <c:ptCount val="1"/>
                <c:pt idx="0">
                  <c:v>1048.8837085223367</c:v>
                </c:pt>
              </c:numCache>
            </c:numRef>
          </c:val>
          <c:smooth val="0"/>
          <c:extLst>
            <c:ext xmlns:c16="http://schemas.microsoft.com/office/drawing/2014/chart" uri="{C3380CC4-5D6E-409C-BE32-E72D297353CC}">
              <c16:uniqueId val="{00000008-0693-4E4B-8E32-A585DAB75DF9}"/>
            </c:ext>
          </c:extLst>
        </c:ser>
        <c:dLbls>
          <c:showLegendKey val="0"/>
          <c:showVal val="0"/>
          <c:showCatName val="0"/>
          <c:showSerName val="0"/>
          <c:showPercent val="0"/>
          <c:showBubbleSize val="0"/>
        </c:dLbls>
        <c:hiLowLines>
          <c:spPr>
            <a:ln w="0">
              <a:noFill/>
              <a:prstDash val="solid"/>
            </a:ln>
          </c:spPr>
        </c:hiLowLines>
        <c:marker val="1"/>
        <c:smooth val="0"/>
        <c:axId val="6355993"/>
        <c:axId val="9097790"/>
      </c:lineChart>
      <c:catAx>
        <c:axId val="6355993"/>
        <c:scaling>
          <c:orientation val="minMax"/>
        </c:scaling>
        <c:delete val="1"/>
        <c:axPos val="b"/>
        <c:numFmt formatCode="General" sourceLinked="1"/>
        <c:majorTickMark val="none"/>
        <c:minorTickMark val="none"/>
        <c:tickLblPos val="nextTo"/>
        <c:crossAx val="9097790"/>
        <c:crosses val="autoZero"/>
        <c:auto val="1"/>
        <c:lblAlgn val="ctr"/>
        <c:lblOffset val="100"/>
        <c:noMultiLvlLbl val="0"/>
      </c:catAx>
      <c:valAx>
        <c:axId val="9097790"/>
        <c:scaling>
          <c:orientation val="minMax"/>
          <c:max val="2700"/>
          <c:min val="-100"/>
        </c:scaling>
        <c:delete val="1"/>
        <c:axPos val="l"/>
        <c:title>
          <c:tx>
            <c:rich>
              <a:bodyPr rot="-5400000"/>
              <a:lstStyle/>
              <a:p>
                <a:pPr>
                  <a:defRPr lang="en-US" sz="1000" b="0" strike="noStrike" spc="-1">
                    <a:solidFill>
                      <a:srgbClr val="595959"/>
                    </a:solidFill>
                    <a:latin typeface="Calibri"/>
                  </a:defRPr>
                </a:pPr>
                <a:r>
                  <a:rPr lang="en-US" sz="1000" b="0" strike="noStrike" spc="-1">
                    <a:solidFill>
                      <a:srgbClr val="595959"/>
                    </a:solidFill>
                    <a:latin typeface="Calibri"/>
                  </a:rPr>
                  <a:t>USD/tLSFOeq</a:t>
                </a:r>
              </a:p>
            </c:rich>
          </c:tx>
          <c:overlay val="0"/>
          <c:spPr>
            <a:noFill/>
            <a:ln w="0">
              <a:noFill/>
              <a:prstDash val="solid"/>
            </a:ln>
          </c:spPr>
        </c:title>
        <c:numFmt formatCode="0" sourceLinked="1"/>
        <c:majorTickMark val="out"/>
        <c:minorTickMark val="none"/>
        <c:tickLblPos val="nextTo"/>
        <c:crossAx val="6355993"/>
        <c:crosses val="autoZero"/>
        <c:crossBetween val="between"/>
      </c:valAx>
    </c:plotArea>
    <c:legend>
      <c:legendPos val="r"/>
      <c:legendEntry>
        <c:idx val="4"/>
        <c:delete val="1"/>
      </c:legendEntry>
      <c:layout>
        <c:manualLayout>
          <c:xMode val="edge"/>
          <c:yMode val="edge"/>
          <c:x val="2.5486731346773098E-2"/>
          <c:y val="0.79733996415770592"/>
          <c:w val="0.89807255070552805"/>
          <c:h val="0.20266003584229392"/>
        </c:manualLayout>
      </c:layout>
      <c:overlay val="0"/>
      <c:spPr>
        <a:noFill/>
        <a:ln w="0">
          <a:noFill/>
          <a:prstDash val="solid"/>
        </a:ln>
      </c:spPr>
      <c:txPr>
        <a:bodyPr/>
        <a:lstStyle/>
        <a:p>
          <a:pPr>
            <a:defRPr lang="ja-JP" sz="1000" b="0" strike="noStrike" spc="-1">
              <a:solidFill>
                <a:srgbClr val="595959"/>
              </a:solidFill>
              <a:latin typeface="Calibri"/>
            </a:defRPr>
          </a:pPr>
          <a:endParaRPr lang="en-US"/>
        </a:p>
      </c:txPr>
    </c:legend>
    <c:plotVisOnly val="0"/>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1.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image" Target="../media/image4.png"/><Relationship Id="rId5" Type="http://schemas.openxmlformats.org/officeDocument/2006/relationships/chart" Target="../charts/chart8.xml"/><Relationship Id="rId10" Type="http://schemas.openxmlformats.org/officeDocument/2006/relationships/image" Target="../media/image3.png"/><Relationship Id="rId4" Type="http://schemas.openxmlformats.org/officeDocument/2006/relationships/chart" Target="../charts/chart7.xml"/><Relationship Id="rId9"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133350</xdr:colOff>
      <xdr:row>49</xdr:row>
      <xdr:rowOff>28956</xdr:rowOff>
    </xdr:from>
    <xdr:to>
      <xdr:col>4</xdr:col>
      <xdr:colOff>1550</xdr:colOff>
      <xdr:row>64</xdr:row>
      <xdr:rowOff>170074</xdr:rowOff>
    </xdr:to>
    <xdr:graphicFrame macro="">
      <xdr:nvGraphicFramePr>
        <xdr:cNvPr id="2" name="Chart 1">
          <a:extLst>
            <a:ext uri="{FF2B5EF4-FFF2-40B4-BE49-F238E27FC236}">
              <a16:creationId xmlns:a16="http://schemas.microsoft.com/office/drawing/2014/main" id="{E30A0BD0-63E2-4AE0-95E6-A0261ABE9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65</xdr:row>
      <xdr:rowOff>81171</xdr:rowOff>
    </xdr:from>
    <xdr:to>
      <xdr:col>3</xdr:col>
      <xdr:colOff>2630862</xdr:colOff>
      <xdr:row>84</xdr:row>
      <xdr:rowOff>132642</xdr:rowOff>
    </xdr:to>
    <xdr:graphicFrame macro="">
      <xdr:nvGraphicFramePr>
        <xdr:cNvPr id="3" name="Chart 2">
          <a:extLst>
            <a:ext uri="{FF2B5EF4-FFF2-40B4-BE49-F238E27FC236}">
              <a16:creationId xmlns:a16="http://schemas.microsoft.com/office/drawing/2014/main" id="{ECD9D890-698C-4165-99B1-9CB72D5EB5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86086</xdr:colOff>
      <xdr:row>49</xdr:row>
      <xdr:rowOff>28956</xdr:rowOff>
    </xdr:from>
    <xdr:to>
      <xdr:col>13</xdr:col>
      <xdr:colOff>462286</xdr:colOff>
      <xdr:row>64</xdr:row>
      <xdr:rowOff>170074</xdr:rowOff>
    </xdr:to>
    <xdr:graphicFrame macro="">
      <xdr:nvGraphicFramePr>
        <xdr:cNvPr id="10" name="Chart Softer Start 29">
          <a:extLst>
            <a:ext uri="{FF2B5EF4-FFF2-40B4-BE49-F238E27FC236}">
              <a16:creationId xmlns:a16="http://schemas.microsoft.com/office/drawing/2014/main" id="{B47EF9F1-4860-4E65-AAB4-291D14274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absoluteAnchor>
    <xdr:pos x="8918844" y="69850"/>
    <xdr:ext cx="5760000" cy="3600000"/>
    <xdr:graphicFrame macro="">
      <xdr:nvGraphicFramePr>
        <xdr:cNvPr id="2" name="Chart 1">
          <a:extLst>
            <a:ext uri="{FF2B5EF4-FFF2-40B4-BE49-F238E27FC236}">
              <a16:creationId xmlns:a16="http://schemas.microsoft.com/office/drawing/2014/main" id="{005DA972-56CE-45A3-80F8-8A6EBD822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14800934" y="69850"/>
    <xdr:ext cx="5760000" cy="3600000"/>
    <xdr:graphicFrame macro="">
      <xdr:nvGraphicFramePr>
        <xdr:cNvPr id="3" name="Chart 2">
          <a:extLst>
            <a:ext uri="{FF2B5EF4-FFF2-40B4-BE49-F238E27FC236}">
              <a16:creationId xmlns:a16="http://schemas.microsoft.com/office/drawing/2014/main" id="{76F11DFC-9CC2-4BFA-9913-FFDE3000E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14788234" y="3755840"/>
    <xdr:ext cx="5760000" cy="3600000"/>
    <xdr:graphicFrame macro="">
      <xdr:nvGraphicFramePr>
        <xdr:cNvPr id="4" name="Chart 3">
          <a:extLst>
            <a:ext uri="{FF2B5EF4-FFF2-40B4-BE49-F238E27FC236}">
              <a16:creationId xmlns:a16="http://schemas.microsoft.com/office/drawing/2014/main" id="{3F2EE131-2677-4234-B832-51171A47A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twoCellAnchor editAs="oneCell">
    <xdr:from>
      <xdr:col>0</xdr:col>
      <xdr:colOff>133349</xdr:colOff>
      <xdr:row>20</xdr:row>
      <xdr:rowOff>51344</xdr:rowOff>
    </xdr:from>
    <xdr:to>
      <xdr:col>2</xdr:col>
      <xdr:colOff>544949</xdr:colOff>
      <xdr:row>48</xdr:row>
      <xdr:rowOff>81444</xdr:rowOff>
    </xdr:to>
    <xdr:graphicFrame macro="">
      <xdr:nvGraphicFramePr>
        <xdr:cNvPr id="6" name="Chart 5">
          <a:extLst>
            <a:ext uri="{FF2B5EF4-FFF2-40B4-BE49-F238E27FC236}">
              <a16:creationId xmlns:a16="http://schemas.microsoft.com/office/drawing/2014/main" id="{7F0E06A0-79A4-4EB5-82EA-1755C110A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29246</xdr:colOff>
      <xdr:row>20</xdr:row>
      <xdr:rowOff>51344</xdr:rowOff>
    </xdr:from>
    <xdr:to>
      <xdr:col>6</xdr:col>
      <xdr:colOff>345596</xdr:colOff>
      <xdr:row>48</xdr:row>
      <xdr:rowOff>81444</xdr:rowOff>
    </xdr:to>
    <xdr:graphicFrame macro="">
      <xdr:nvGraphicFramePr>
        <xdr:cNvPr id="7" name="Chart 6">
          <a:extLst>
            <a:ext uri="{FF2B5EF4-FFF2-40B4-BE49-F238E27FC236}">
              <a16:creationId xmlns:a16="http://schemas.microsoft.com/office/drawing/2014/main" id="{C7770BDF-20C3-43A3-8238-AE26FC62A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6</xdr:col>
      <xdr:colOff>407297</xdr:colOff>
      <xdr:row>20</xdr:row>
      <xdr:rowOff>51344</xdr:rowOff>
    </xdr:from>
    <xdr:to>
      <xdr:col>10</xdr:col>
      <xdr:colOff>133097</xdr:colOff>
      <xdr:row>48</xdr:row>
      <xdr:rowOff>81444</xdr:rowOff>
    </xdr:to>
    <xdr:graphicFrame macro="">
      <xdr:nvGraphicFramePr>
        <xdr:cNvPr id="8" name="Chart 7">
          <a:extLst>
            <a:ext uri="{FF2B5EF4-FFF2-40B4-BE49-F238E27FC236}">
              <a16:creationId xmlns:a16="http://schemas.microsoft.com/office/drawing/2014/main" id="{C1749467-C49E-47E2-87E1-ACCED3EA7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10</xdr:col>
      <xdr:colOff>184060</xdr:colOff>
      <xdr:row>20</xdr:row>
      <xdr:rowOff>51344</xdr:rowOff>
    </xdr:from>
    <xdr:to>
      <xdr:col>13</xdr:col>
      <xdr:colOff>500410</xdr:colOff>
      <xdr:row>48</xdr:row>
      <xdr:rowOff>81444</xdr:rowOff>
    </xdr:to>
    <xdr:graphicFrame macro="">
      <xdr:nvGraphicFramePr>
        <xdr:cNvPr id="9" name="Chart 8">
          <a:extLst>
            <a:ext uri="{FF2B5EF4-FFF2-40B4-BE49-F238E27FC236}">
              <a16:creationId xmlns:a16="http://schemas.microsoft.com/office/drawing/2014/main" id="{43079A28-4002-4B91-B6CD-C9BD02A15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643090</xdr:colOff>
      <xdr:row>19</xdr:row>
      <xdr:rowOff>274543</xdr:rowOff>
    </xdr:from>
    <xdr:to>
      <xdr:col>1</xdr:col>
      <xdr:colOff>1404850</xdr:colOff>
      <xdr:row>22</xdr:row>
      <xdr:rowOff>3719</xdr:rowOff>
    </xdr:to>
    <xdr:pic>
      <xdr:nvPicPr>
        <xdr:cNvPr id="10" name="Picture 10">
          <a:extLst>
            <a:ext uri="{FF2B5EF4-FFF2-40B4-BE49-F238E27FC236}">
              <a16:creationId xmlns:a16="http://schemas.microsoft.com/office/drawing/2014/main" id="{70146F9F-7AE6-426C-992C-98FE291B3965}"/>
            </a:ext>
          </a:extLst>
        </xdr:cNvPr>
        <xdr:cNvPicPr/>
      </xdr:nvPicPr>
      <xdr:blipFill>
        <a:blip xmlns:r="http://schemas.openxmlformats.org/officeDocument/2006/relationships" r:embed="rId8"/>
        <a:stretch>
          <a:fillRect/>
        </a:stretch>
      </xdr:blipFill>
      <xdr:spPr>
        <a:xfrm>
          <a:off x="782790" y="5202143"/>
          <a:ext cx="761760" cy="567376"/>
        </a:xfrm>
        <a:prstGeom prst="rect">
          <a:avLst/>
        </a:prstGeom>
        <a:ln w="0">
          <a:noFill/>
          <a:prstDash val="solid"/>
        </a:ln>
      </xdr:spPr>
    </xdr:pic>
    <xdr:clientData/>
  </xdr:twoCellAnchor>
  <xdr:twoCellAnchor editAs="oneCell">
    <xdr:from>
      <xdr:col>3</xdr:col>
      <xdr:colOff>579407</xdr:colOff>
      <xdr:row>19</xdr:row>
      <xdr:rowOff>274543</xdr:rowOff>
    </xdr:from>
    <xdr:to>
      <xdr:col>5</xdr:col>
      <xdr:colOff>179018</xdr:colOff>
      <xdr:row>22</xdr:row>
      <xdr:rowOff>47049</xdr:rowOff>
    </xdr:to>
    <xdr:pic>
      <xdr:nvPicPr>
        <xdr:cNvPr id="11" name="Picture 11">
          <a:extLst>
            <a:ext uri="{FF2B5EF4-FFF2-40B4-BE49-F238E27FC236}">
              <a16:creationId xmlns:a16="http://schemas.microsoft.com/office/drawing/2014/main" id="{F4615B59-3E48-4D49-81AC-1C31D7B04246}"/>
            </a:ext>
          </a:extLst>
        </xdr:cNvPr>
        <xdr:cNvPicPr/>
      </xdr:nvPicPr>
      <xdr:blipFill>
        <a:blip xmlns:r="http://schemas.openxmlformats.org/officeDocument/2006/relationships" r:embed="rId9"/>
        <a:stretch>
          <a:fillRect/>
        </a:stretch>
      </xdr:blipFill>
      <xdr:spPr>
        <a:xfrm>
          <a:off x="2846357" y="5202143"/>
          <a:ext cx="780711" cy="610706"/>
        </a:xfrm>
        <a:prstGeom prst="rect">
          <a:avLst/>
        </a:prstGeom>
        <a:ln w="0">
          <a:noFill/>
          <a:prstDash val="solid"/>
        </a:ln>
      </xdr:spPr>
    </xdr:pic>
    <xdr:clientData/>
  </xdr:twoCellAnchor>
  <xdr:twoCellAnchor editAs="oneCell">
    <xdr:from>
      <xdr:col>7</xdr:col>
      <xdr:colOff>439130</xdr:colOff>
      <xdr:row>19</xdr:row>
      <xdr:rowOff>274543</xdr:rowOff>
    </xdr:from>
    <xdr:to>
      <xdr:col>9</xdr:col>
      <xdr:colOff>8153</xdr:colOff>
      <xdr:row>21</xdr:row>
      <xdr:rowOff>221979</xdr:rowOff>
    </xdr:to>
    <xdr:pic>
      <xdr:nvPicPr>
        <xdr:cNvPr id="12" name="Picture 12">
          <a:extLst>
            <a:ext uri="{FF2B5EF4-FFF2-40B4-BE49-F238E27FC236}">
              <a16:creationId xmlns:a16="http://schemas.microsoft.com/office/drawing/2014/main" id="{AD37FA2F-D59B-4993-9091-D423A9DE3D18}"/>
            </a:ext>
          </a:extLst>
        </xdr:cNvPr>
        <xdr:cNvPicPr/>
      </xdr:nvPicPr>
      <xdr:blipFill>
        <a:blip xmlns:r="http://schemas.openxmlformats.org/officeDocument/2006/relationships" r:embed="rId10"/>
        <a:stretch>
          <a:fillRect/>
        </a:stretch>
      </xdr:blipFill>
      <xdr:spPr>
        <a:xfrm>
          <a:off x="5068280" y="5202143"/>
          <a:ext cx="750123" cy="531636"/>
        </a:xfrm>
        <a:prstGeom prst="rect">
          <a:avLst/>
        </a:prstGeom>
        <a:ln w="0">
          <a:noFill/>
          <a:prstDash val="solid"/>
        </a:ln>
      </xdr:spPr>
    </xdr:pic>
    <xdr:clientData/>
  </xdr:twoCellAnchor>
  <xdr:twoCellAnchor editAs="oneCell">
    <xdr:from>
      <xdr:col>11</xdr:col>
      <xdr:colOff>218818</xdr:colOff>
      <xdr:row>19</xdr:row>
      <xdr:rowOff>274543</xdr:rowOff>
    </xdr:from>
    <xdr:to>
      <xdr:col>12</xdr:col>
      <xdr:colOff>416321</xdr:colOff>
      <xdr:row>21</xdr:row>
      <xdr:rowOff>219784</xdr:rowOff>
    </xdr:to>
    <xdr:pic>
      <xdr:nvPicPr>
        <xdr:cNvPr id="13" name="Picture 13">
          <a:extLst>
            <a:ext uri="{FF2B5EF4-FFF2-40B4-BE49-F238E27FC236}">
              <a16:creationId xmlns:a16="http://schemas.microsoft.com/office/drawing/2014/main" id="{F0B41CFA-77D3-43CB-9626-A94F129D068A}"/>
            </a:ext>
          </a:extLst>
        </xdr:cNvPr>
        <xdr:cNvPicPr/>
      </xdr:nvPicPr>
      <xdr:blipFill>
        <a:blip xmlns:r="http://schemas.openxmlformats.org/officeDocument/2006/relationships" r:embed="rId11"/>
        <a:stretch>
          <a:fillRect/>
        </a:stretch>
      </xdr:blipFill>
      <xdr:spPr>
        <a:xfrm>
          <a:off x="7210168" y="5202143"/>
          <a:ext cx="788053" cy="529441"/>
        </a:xfrm>
        <a:prstGeom prst="rect">
          <a:avLst/>
        </a:prstGeom>
        <a:ln w="0">
          <a:noFill/>
          <a:prstDash val="solid"/>
        </a:ln>
      </xdr:spPr>
    </xdr:pic>
    <xdr:clientData/>
  </xdr:twoCellAnchor>
  <xdr:absoluteAnchor>
    <xdr:pos x="8918844" y="3755840"/>
    <xdr:ext cx="5760000" cy="3600000"/>
    <xdr:graphicFrame macro="">
      <xdr:nvGraphicFramePr>
        <xdr:cNvPr id="14" name="Chart Softer Start 27">
          <a:extLst>
            <a:ext uri="{FF2B5EF4-FFF2-40B4-BE49-F238E27FC236}">
              <a16:creationId xmlns:a16="http://schemas.microsoft.com/office/drawing/2014/main" id="{9BC583E1-7DDA-43EC-8461-90FD86A17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absoluteAnchor>
</xdr:wsDr>
</file>

<file path=xl/persons/person.xml><?xml version="1.0" encoding="utf-8"?>
<personList xmlns="http://schemas.microsoft.com/office/spreadsheetml/2018/threadedcomments" xmlns:x="http://schemas.openxmlformats.org/spreadsheetml/2006/main">
  <person displayName="Yuji Kosaka" id="{65992D83-BE9D-4E29-85D5-54AF2708B78B}" userId="S::yuji.kosaka@zerocarbonshipping.com::285be3bd-55b1-403d-8db6-6ccd33dc23ab" providerId="AD"/>
  <person displayName="Nicolas Campion" id="{D9837BEF-5A68-4462-AF59-57989308F05E}" userId="S::nicolas.campion@zerocarbonshipping.com::6ac53b60-6042-4714-a310-9f7995b7cab9" providerId="AD"/>
</personList>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2" dT="2026-07-27T13:14:35.13" personId="{D9837BEF-5A68-4462-AF59-57989308F05E}" id="{7B7C45CA-448B-4E7C-8747-A08E5F0A2A07}">
    <text>The text "Total x USD/tVLSFO" overlaps and is not readable (at least on my laptop). Maybe enlarge the different result boxes or put the Total in another box</text>
  </threadedComment>
  <threadedComment ref="B22" dT="2026-07-28T08:03:53.06" personId="{65992D83-BE9D-4E29-85D5-54AF2708B78B}" id="{0668D406-D205-4286-8800-113ECE6FCDF9}" parentId="{7B7C45CA-448B-4E7C-8747-A08E5F0A2A07}">
    <text>Modified chart sizing and setting a bit.</text>
  </threadedComment>
  <threadedComment ref="D22" dT="2026-07-27T14:06:28.96" personId="{D9837BEF-5A68-4462-AF59-57989308F05E}" id="{3A75767C-A626-4A65-A150-AB009E945F94}">
    <text xml:space="preserve">The 0 on the bar chart overlap the 50 from Tier 1, which makes the graph look a bit weird. Maybe it is possible to filter the zero values from the graph? </text>
  </threadedComment>
  <threadedComment ref="D22" dT="2026-07-28T08:03:34.50" personId="{65992D83-BE9D-4E29-85D5-54AF2708B78B}" id="{750477E6-295E-4C29-A79C-B6F4CC92DABB}" parentId="{3A75767C-A626-4A65-A150-AB009E945F94}">
    <text>Added the filter for not showing zero value</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976"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0D35396-9ECA-4029-B442-DC9FD5FEE898}">
  <we:reference id="29673e3c-d826-4f00-92ee-162334a52b1a" version="1.0.0.8" store="EXCatalog" storeType="EXCatalog"/>
  <we:alternateReferences>
    <we:reference id="WA200009404" version="1.0.0.8" store="en-US" storeType="OMEX"/>
  </we:alternateReferences>
  <we:properties>
    <we:property name="claude.fileId" value="&quot;eddc1288-ac8b-409d-8619-4050d99b8e30&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hyperlink" Target="https://www.zerocarbonshipping.com/imo-net-zero-framewor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zerocarbonshipping.com/files/imo-nzf3c-concepts-paper-v2-1.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cdn.imo.org/localresources/en/OurWork/Environment/Documents/MEPC%2082-INF.8-Add.1%20-%20Report%20of%20the%20Comprehensive%20impact%20assessment%20of%20the%20basket%20of%20candidateGHG%20reduction%20mid-...%20(Secretariat).pdf" TargetMode="External"/><Relationship Id="rId3" Type="http://schemas.openxmlformats.org/officeDocument/2006/relationships/hyperlink" Target="https://wwwcdn.imo.org/localresources/en/OurWork/Environment/Documents/annex/MEPC%2081/Annex%2010.pdf" TargetMode="External"/><Relationship Id="rId7" Type="http://schemas.openxmlformats.org/officeDocument/2006/relationships/hyperlink" Target="https://wwwcdn.imo.org/localresources/en/OurWork/Environment/Documents/MEPC%2082-INF.8-Add.1%20-%20Report%20of%20the%20Comprehensive%20impact%20assessment%20of%20the%20basket%20of%20candidateGHG%20reduction%20mid-...%20(Secretariat).pdf" TargetMode="External"/><Relationship Id="rId2" Type="http://schemas.openxmlformats.org/officeDocument/2006/relationships/hyperlink" Target="https://wwwcdn.imo.org/localresources/en/OurWork/Environment/Documents/annex/MEPC%2081/Annex%2010.pdf" TargetMode="External"/><Relationship Id="rId1" Type="http://schemas.openxmlformats.org/officeDocument/2006/relationships/hyperlink" Target="https://wwwcdn.imo.org/localresources/en/OurWork/Environment/Documents/MEPC%2082-INF.8-Add.1%20-%20Report%20of%20the%20Comprehensive%20impact%20assessment%20of%20the%20basket%20of%20candidateGHG%20reduction%20mid-...%20(Secretariat).pdf" TargetMode="External"/><Relationship Id="rId6" Type="http://schemas.openxmlformats.org/officeDocument/2006/relationships/hyperlink" Target="https://wwwcdn.imo.org/localresources/en/OurWork/Environment/Documents/MEPC%2082-INF.8-Add.1%20-%20Report%20of%20the%20Comprehensive%20impact%20assessment%20of%20the%20basket%20of%20candidateGHG%20reduction%20mid-...%20(Secretariat).pdf" TargetMode="External"/><Relationship Id="rId5" Type="http://schemas.openxmlformats.org/officeDocument/2006/relationships/hyperlink" Target="https://wwwcdn.imo.org/localresources/en/OurWork/Environment/Documents/MEPC%2082-INF.8-Add.1%20-%20Report%20of%20the%20Comprehensive%20impact%20assessment%20of%20the%20basket%20of%20candidateGHG%20reduction%20mid-...%20(Secretariat).pdf" TargetMode="External"/><Relationship Id="rId4" Type="http://schemas.openxmlformats.org/officeDocument/2006/relationships/hyperlink" Target="https://wwwcdn.imo.org/localresources/en/OurWork/Environment/Documents/MEPC%2082-INF.8-Add.1%20-%20Report%20of%20the%20Comprehensive%20impact%20assessment%20of%20the%20basket%20of%20candidateGHG%20reduction%20mid-...%20(Secretaria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2933-D9F3-4EB4-96B6-E7C31A55BC31}">
  <sheetPr>
    <tabColor rgb="FFA3C5BF"/>
    <pageSetUpPr fitToPage="1"/>
  </sheetPr>
  <dimension ref="B2:M54"/>
  <sheetViews>
    <sheetView showGridLines="0" topLeftCell="A31" zoomScale="75" zoomScaleNormal="100" workbookViewId="0">
      <selection activeCell="B43" sqref="B43:M43"/>
    </sheetView>
  </sheetViews>
  <sheetFormatPr defaultColWidth="8.7109375" defaultRowHeight="15" x14ac:dyDescent="0.25"/>
  <cols>
    <col min="1" max="1" width="2.42578125" style="16" customWidth="1"/>
    <col min="2" max="13" width="12.5703125" style="16" customWidth="1"/>
    <col min="14" max="14" width="2.42578125" style="16" customWidth="1"/>
    <col min="15" max="16384" width="8.7109375" style="16"/>
  </cols>
  <sheetData>
    <row r="2" spans="2:13" ht="20.100000000000001" customHeight="1" x14ac:dyDescent="0.25">
      <c r="B2" s="307" t="s">
        <v>0</v>
      </c>
      <c r="C2" s="298"/>
      <c r="D2" s="298"/>
      <c r="E2" s="298"/>
      <c r="F2" s="298"/>
      <c r="G2" s="298"/>
      <c r="H2" s="298"/>
      <c r="I2" s="298"/>
      <c r="J2" s="298"/>
      <c r="K2" s="298"/>
      <c r="L2" s="298"/>
      <c r="M2" s="298"/>
    </row>
    <row r="3" spans="2:13" ht="33.950000000000003" customHeight="1" x14ac:dyDescent="0.25">
      <c r="B3" s="308" t="s">
        <v>1</v>
      </c>
      <c r="C3" s="309"/>
      <c r="D3" s="309"/>
      <c r="E3" s="309"/>
      <c r="F3" s="309"/>
      <c r="G3" s="309"/>
      <c r="H3" s="309"/>
      <c r="I3" s="309"/>
      <c r="J3" s="309"/>
      <c r="K3" s="309"/>
      <c r="L3" s="309"/>
      <c r="M3" s="309"/>
    </row>
    <row r="5" spans="2:13" ht="23.25" x14ac:dyDescent="0.25">
      <c r="B5" s="310" t="s">
        <v>2</v>
      </c>
      <c r="C5" s="310"/>
      <c r="D5" s="310"/>
      <c r="E5" s="310"/>
      <c r="F5" s="310"/>
      <c r="G5" s="310"/>
      <c r="H5" s="310"/>
      <c r="I5" s="310"/>
      <c r="J5" s="310"/>
      <c r="K5" s="310"/>
      <c r="L5" s="310"/>
      <c r="M5" s="310"/>
    </row>
    <row r="6" spans="2:13" ht="45.95" customHeight="1" x14ac:dyDescent="0.25">
      <c r="B6" s="311" t="s">
        <v>3</v>
      </c>
      <c r="C6" s="311"/>
      <c r="D6" s="311"/>
      <c r="E6" s="311"/>
      <c r="F6" s="311"/>
      <c r="G6" s="311"/>
      <c r="H6" s="311"/>
      <c r="I6" s="311"/>
      <c r="J6" s="311"/>
      <c r="K6" s="311"/>
      <c r="L6" s="311"/>
      <c r="M6" s="311"/>
    </row>
    <row r="8" spans="2:13" x14ac:dyDescent="0.25">
      <c r="B8" s="312" t="s">
        <v>4</v>
      </c>
      <c r="C8" s="298"/>
      <c r="D8" s="298"/>
      <c r="E8" s="298"/>
      <c r="F8" s="298"/>
      <c r="G8" s="298"/>
      <c r="H8" s="298"/>
      <c r="I8" s="298"/>
      <c r="J8" s="298"/>
      <c r="K8" s="298"/>
      <c r="L8" s="298"/>
      <c r="M8" s="298"/>
    </row>
    <row r="9" spans="2:13" ht="47.45" customHeight="1" x14ac:dyDescent="0.25">
      <c r="B9" s="313" t="s">
        <v>5</v>
      </c>
      <c r="C9" s="298"/>
      <c r="D9" s="298"/>
      <c r="E9" s="298"/>
      <c r="F9" s="298"/>
      <c r="G9" s="298"/>
      <c r="H9" s="298"/>
      <c r="I9" s="298"/>
      <c r="J9" s="298"/>
      <c r="K9" s="298"/>
      <c r="L9" s="298"/>
      <c r="M9" s="298"/>
    </row>
    <row r="11" spans="2:13" x14ac:dyDescent="0.25">
      <c r="B11" s="312" t="s">
        <v>6</v>
      </c>
      <c r="C11" s="298"/>
      <c r="D11" s="298"/>
      <c r="E11" s="298"/>
      <c r="F11" s="298"/>
      <c r="G11" s="298"/>
      <c r="H11" s="298"/>
      <c r="I11" s="298"/>
      <c r="J11" s="298"/>
      <c r="K11" s="298"/>
      <c r="L11" s="298"/>
      <c r="M11" s="298"/>
    </row>
    <row r="12" spans="2:13" ht="72.599999999999994" customHeight="1" x14ac:dyDescent="0.25">
      <c r="B12" s="314" t="s">
        <v>7</v>
      </c>
      <c r="C12" s="315"/>
      <c r="D12" s="315"/>
      <c r="E12" s="315"/>
      <c r="F12" s="39" t="s">
        <v>8</v>
      </c>
      <c r="G12" s="316" t="s">
        <v>9</v>
      </c>
      <c r="H12" s="315"/>
      <c r="I12" s="315"/>
      <c r="J12" s="39" t="s">
        <v>8</v>
      </c>
      <c r="K12" s="314" t="s">
        <v>10</v>
      </c>
      <c r="L12" s="315"/>
      <c r="M12" s="315"/>
    </row>
    <row r="14" spans="2:13" x14ac:dyDescent="0.25">
      <c r="B14" s="312" t="s">
        <v>11</v>
      </c>
      <c r="C14" s="298"/>
      <c r="D14" s="298"/>
      <c r="E14" s="298"/>
      <c r="F14" s="298"/>
      <c r="G14" s="298"/>
      <c r="H14" s="298"/>
      <c r="I14" s="298"/>
      <c r="J14" s="298"/>
      <c r="K14" s="298"/>
      <c r="L14" s="298"/>
      <c r="M14" s="298"/>
    </row>
    <row r="15" spans="2:13" x14ac:dyDescent="0.25">
      <c r="B15" s="306" t="s">
        <v>12</v>
      </c>
      <c r="C15" s="298"/>
      <c r="D15" s="298"/>
      <c r="E15" s="298"/>
      <c r="F15" s="298"/>
      <c r="G15" s="298"/>
      <c r="H15" s="298"/>
      <c r="I15" s="298"/>
      <c r="J15" s="298"/>
      <c r="K15" s="298"/>
      <c r="L15" s="298"/>
      <c r="M15" s="298"/>
    </row>
    <row r="16" spans="2:13" x14ac:dyDescent="0.25">
      <c r="B16" s="317" t="s">
        <v>580</v>
      </c>
      <c r="C16" s="298"/>
      <c r="D16" s="298"/>
      <c r="E16" s="318" t="s">
        <v>14</v>
      </c>
      <c r="F16" s="319"/>
      <c r="G16" s="319"/>
      <c r="H16" s="319"/>
      <c r="I16" s="319"/>
      <c r="J16" s="319"/>
      <c r="K16" s="319"/>
      <c r="L16" s="319"/>
      <c r="M16" s="319"/>
    </row>
    <row r="17" spans="2:13" x14ac:dyDescent="0.25">
      <c r="B17" s="317" t="s">
        <v>581</v>
      </c>
      <c r="C17" s="298"/>
      <c r="D17" s="298"/>
      <c r="E17" s="318" t="s">
        <v>16</v>
      </c>
      <c r="F17" s="319"/>
      <c r="G17" s="319"/>
      <c r="H17" s="319"/>
      <c r="I17" s="319"/>
      <c r="J17" s="319"/>
      <c r="K17" s="319"/>
      <c r="L17" s="319"/>
      <c r="M17" s="319"/>
    </row>
    <row r="18" spans="2:13" x14ac:dyDescent="0.25">
      <c r="B18" s="317" t="s">
        <v>582</v>
      </c>
      <c r="C18" s="298"/>
      <c r="D18" s="298"/>
      <c r="E18" s="318" t="s">
        <v>18</v>
      </c>
      <c r="F18" s="319"/>
      <c r="G18" s="319"/>
      <c r="H18" s="319"/>
      <c r="I18" s="319"/>
      <c r="J18" s="319"/>
      <c r="K18" s="319"/>
      <c r="L18" s="319"/>
      <c r="M18" s="319"/>
    </row>
    <row r="19" spans="2:13" x14ac:dyDescent="0.25">
      <c r="B19" s="317" t="s">
        <v>583</v>
      </c>
      <c r="C19" s="298"/>
      <c r="D19" s="298"/>
      <c r="E19" s="318" t="s">
        <v>20</v>
      </c>
      <c r="F19" s="319"/>
      <c r="G19" s="319"/>
      <c r="H19" s="319"/>
      <c r="I19" s="319"/>
      <c r="J19" s="319"/>
      <c r="K19" s="319"/>
      <c r="L19" s="319"/>
      <c r="M19" s="319"/>
    </row>
    <row r="21" spans="2:13" x14ac:dyDescent="0.25">
      <c r="B21" s="306" t="s">
        <v>21</v>
      </c>
      <c r="C21" s="298"/>
      <c r="D21" s="298"/>
      <c r="E21" s="298"/>
      <c r="F21" s="298"/>
      <c r="G21" s="298"/>
      <c r="H21" s="298"/>
      <c r="I21" s="298"/>
      <c r="J21" s="298"/>
      <c r="K21" s="298"/>
      <c r="L21" s="298"/>
      <c r="M21" s="298"/>
    </row>
    <row r="22" spans="2:13" x14ac:dyDescent="0.25">
      <c r="B22" s="317" t="s">
        <v>22</v>
      </c>
      <c r="C22" s="298"/>
      <c r="D22" s="298"/>
      <c r="E22" s="318" t="s">
        <v>23</v>
      </c>
      <c r="F22" s="319"/>
      <c r="G22" s="319"/>
      <c r="H22" s="319"/>
      <c r="I22" s="319"/>
      <c r="J22" s="319"/>
      <c r="K22" s="319"/>
      <c r="L22" s="319"/>
      <c r="M22" s="319"/>
    </row>
    <row r="23" spans="2:13" x14ac:dyDescent="0.25">
      <c r="B23" s="317" t="s">
        <v>24</v>
      </c>
      <c r="C23" s="298"/>
      <c r="D23" s="298"/>
      <c r="E23" s="318" t="s">
        <v>25</v>
      </c>
      <c r="F23" s="319"/>
      <c r="G23" s="319"/>
      <c r="H23" s="319"/>
      <c r="I23" s="319"/>
      <c r="J23" s="319"/>
      <c r="K23" s="319"/>
      <c r="L23" s="319"/>
      <c r="M23" s="319"/>
    </row>
    <row r="24" spans="2:13" x14ac:dyDescent="0.25">
      <c r="B24" s="317" t="s">
        <v>26</v>
      </c>
      <c r="C24" s="298"/>
      <c r="D24" s="298"/>
      <c r="E24" s="318" t="s">
        <v>27</v>
      </c>
      <c r="F24" s="319"/>
      <c r="G24" s="319"/>
      <c r="H24" s="319"/>
      <c r="I24" s="319"/>
      <c r="J24" s="319"/>
      <c r="K24" s="319"/>
      <c r="L24" s="319"/>
      <c r="M24" s="319"/>
    </row>
    <row r="25" spans="2:13" x14ac:dyDescent="0.25">
      <c r="B25" s="317" t="s">
        <v>28</v>
      </c>
      <c r="C25" s="298"/>
      <c r="D25" s="298"/>
      <c r="E25" s="318" t="s">
        <v>29</v>
      </c>
      <c r="F25" s="319"/>
      <c r="G25" s="319"/>
      <c r="H25" s="319"/>
      <c r="I25" s="319"/>
      <c r="J25" s="319"/>
      <c r="K25" s="319"/>
      <c r="L25" s="319"/>
      <c r="M25" s="319"/>
    </row>
    <row r="27" spans="2:13" x14ac:dyDescent="0.25">
      <c r="B27" s="312" t="s">
        <v>30</v>
      </c>
      <c r="C27" s="298"/>
      <c r="D27" s="298"/>
      <c r="E27" s="298"/>
      <c r="F27" s="298"/>
      <c r="G27" s="298"/>
      <c r="H27" s="298"/>
      <c r="I27" s="298"/>
      <c r="J27" s="298"/>
      <c r="K27" s="298"/>
      <c r="L27" s="298"/>
      <c r="M27" s="298"/>
    </row>
    <row r="28" spans="2:13" ht="21.95" customHeight="1" x14ac:dyDescent="0.25">
      <c r="B28" s="42">
        <v>1</v>
      </c>
      <c r="C28" s="317" t="s">
        <v>31</v>
      </c>
      <c r="D28" s="298"/>
      <c r="E28" s="298"/>
      <c r="F28" s="298"/>
      <c r="G28" s="298"/>
      <c r="H28" s="298"/>
      <c r="I28" s="298"/>
      <c r="J28" s="298"/>
      <c r="K28" s="298"/>
      <c r="L28" s="298"/>
      <c r="M28" s="298"/>
    </row>
    <row r="29" spans="2:13" x14ac:dyDescent="0.25">
      <c r="B29" s="295"/>
      <c r="C29" s="313" t="s">
        <v>32</v>
      </c>
      <c r="D29" s="298"/>
      <c r="E29" s="298"/>
      <c r="F29" s="298"/>
      <c r="G29" s="298"/>
      <c r="H29" s="298"/>
      <c r="I29" s="298"/>
      <c r="J29" s="298"/>
      <c r="K29" s="298"/>
      <c r="L29" s="298"/>
      <c r="M29" s="298"/>
    </row>
    <row r="30" spans="2:13" ht="21.95" customHeight="1" x14ac:dyDescent="0.25">
      <c r="B30" s="42">
        <v>2</v>
      </c>
      <c r="C30" s="317" t="s">
        <v>33</v>
      </c>
      <c r="D30" s="298"/>
      <c r="E30" s="298"/>
      <c r="F30" s="298"/>
      <c r="G30" s="298"/>
      <c r="H30" s="298"/>
      <c r="I30" s="298"/>
      <c r="J30" s="298"/>
      <c r="K30" s="298"/>
      <c r="L30" s="298"/>
      <c r="M30" s="298"/>
    </row>
    <row r="31" spans="2:13" x14ac:dyDescent="0.25">
      <c r="B31" s="295"/>
      <c r="C31" s="313" t="s">
        <v>34</v>
      </c>
      <c r="D31" s="298"/>
      <c r="E31" s="298"/>
      <c r="F31" s="298"/>
      <c r="G31" s="298"/>
      <c r="H31" s="298"/>
      <c r="I31" s="298"/>
      <c r="J31" s="298"/>
      <c r="K31" s="298"/>
      <c r="L31" s="298"/>
      <c r="M31" s="298"/>
    </row>
    <row r="33" spans="2:13" x14ac:dyDescent="0.25">
      <c r="B33" s="312" t="s">
        <v>35</v>
      </c>
      <c r="C33" s="298"/>
      <c r="D33" s="298"/>
      <c r="E33" s="298"/>
      <c r="F33" s="298"/>
      <c r="G33" s="298"/>
      <c r="H33" s="298"/>
      <c r="I33" s="298"/>
      <c r="J33" s="298"/>
      <c r="K33" s="298"/>
      <c r="L33" s="298"/>
      <c r="M33" s="298"/>
    </row>
    <row r="34" spans="2:13" x14ac:dyDescent="0.25">
      <c r="B34" s="317" t="s">
        <v>36</v>
      </c>
      <c r="C34" s="298"/>
      <c r="D34" s="298"/>
      <c r="E34" s="318" t="s">
        <v>37</v>
      </c>
      <c r="F34" s="319"/>
      <c r="G34" s="319"/>
      <c r="H34" s="319"/>
      <c r="I34" s="319"/>
      <c r="J34" s="319"/>
      <c r="K34" s="319"/>
      <c r="L34" s="319"/>
      <c r="M34" s="319"/>
    </row>
    <row r="35" spans="2:13" x14ac:dyDescent="0.25">
      <c r="B35" s="317" t="s">
        <v>38</v>
      </c>
      <c r="C35" s="298"/>
      <c r="D35" s="298"/>
      <c r="E35" s="318" t="s">
        <v>39</v>
      </c>
      <c r="F35" s="319"/>
      <c r="G35" s="319"/>
      <c r="H35" s="319"/>
      <c r="I35" s="319"/>
      <c r="J35" s="319"/>
      <c r="K35" s="319"/>
      <c r="L35" s="319"/>
      <c r="M35" s="319"/>
    </row>
    <row r="36" spans="2:13" x14ac:dyDescent="0.25">
      <c r="B36" s="317" t="s">
        <v>40</v>
      </c>
      <c r="C36" s="298"/>
      <c r="D36" s="298"/>
      <c r="E36" s="318" t="s">
        <v>41</v>
      </c>
      <c r="F36" s="319"/>
      <c r="G36" s="319"/>
      <c r="H36" s="319"/>
      <c r="I36" s="319"/>
      <c r="J36" s="319"/>
      <c r="K36" s="319"/>
      <c r="L36" s="319"/>
      <c r="M36" s="319"/>
    </row>
    <row r="37" spans="2:13" x14ac:dyDescent="0.25">
      <c r="B37" s="317" t="s">
        <v>42</v>
      </c>
      <c r="C37" s="298"/>
      <c r="D37" s="298"/>
      <c r="E37" s="318" t="s">
        <v>43</v>
      </c>
      <c r="F37" s="319"/>
      <c r="G37" s="319"/>
      <c r="H37" s="319"/>
      <c r="I37" s="319"/>
      <c r="J37" s="319"/>
      <c r="K37" s="319"/>
      <c r="L37" s="319"/>
      <c r="M37" s="319"/>
    </row>
    <row r="39" spans="2:13" x14ac:dyDescent="0.25">
      <c r="B39" s="312" t="s">
        <v>44</v>
      </c>
      <c r="C39" s="298"/>
      <c r="D39" s="298"/>
      <c r="E39" s="298"/>
      <c r="F39" s="298"/>
      <c r="G39" s="298"/>
      <c r="H39" s="298"/>
      <c r="I39" s="298"/>
      <c r="J39" s="298"/>
      <c r="K39" s="298"/>
      <c r="L39" s="298"/>
      <c r="M39" s="298"/>
    </row>
    <row r="40" spans="2:13" x14ac:dyDescent="0.25">
      <c r="B40" s="313" t="s">
        <v>45</v>
      </c>
      <c r="C40" s="298"/>
      <c r="D40" s="298"/>
      <c r="E40" s="298"/>
      <c r="F40" s="298"/>
      <c r="G40" s="298"/>
      <c r="H40" s="298"/>
      <c r="I40" s="298"/>
      <c r="J40" s="298"/>
      <c r="K40" s="298"/>
      <c r="L40" s="298"/>
      <c r="M40" s="298"/>
    </row>
    <row r="41" spans="2:13" x14ac:dyDescent="0.25">
      <c r="B41" s="313" t="s">
        <v>46</v>
      </c>
      <c r="C41" s="298"/>
      <c r="D41" s="298"/>
      <c r="E41" s="298"/>
      <c r="F41" s="298"/>
      <c r="G41" s="298"/>
      <c r="H41" s="298"/>
      <c r="I41" s="298"/>
      <c r="J41" s="298"/>
      <c r="K41" s="298"/>
      <c r="L41" s="298"/>
      <c r="M41" s="298"/>
    </row>
    <row r="42" spans="2:13" x14ac:dyDescent="0.25">
      <c r="B42" s="313" t="s">
        <v>47</v>
      </c>
      <c r="C42" s="298"/>
      <c r="D42" s="298"/>
      <c r="E42" s="298"/>
      <c r="F42" s="298"/>
      <c r="G42" s="298"/>
      <c r="H42" s="298"/>
      <c r="I42" s="298"/>
      <c r="J42" s="298"/>
      <c r="K42" s="298"/>
      <c r="L42" s="298"/>
      <c r="M42" s="298"/>
    </row>
    <row r="43" spans="2:13" ht="30" customHeight="1" x14ac:dyDescent="0.25">
      <c r="B43" s="313" t="s">
        <v>48</v>
      </c>
      <c r="C43" s="313"/>
      <c r="D43" s="313"/>
      <c r="E43" s="313"/>
      <c r="F43" s="313"/>
      <c r="G43" s="313"/>
      <c r="H43" s="313"/>
      <c r="I43" s="313"/>
      <c r="J43" s="313"/>
      <c r="K43" s="313"/>
      <c r="L43" s="313"/>
      <c r="M43" s="313"/>
    </row>
    <row r="44" spans="2:13" x14ac:dyDescent="0.25">
      <c r="B44" s="29" t="s">
        <v>49</v>
      </c>
      <c r="C44" s="29"/>
      <c r="D44" s="29"/>
      <c r="E44" s="29"/>
      <c r="F44" s="29"/>
      <c r="G44" s="29"/>
      <c r="H44" s="29"/>
      <c r="I44" s="29"/>
      <c r="J44" s="29"/>
      <c r="K44" s="29"/>
      <c r="L44" s="29"/>
      <c r="M44" s="29"/>
    </row>
    <row r="45" spans="2:13" x14ac:dyDescent="0.25">
      <c r="B45" s="320" t="s">
        <v>50</v>
      </c>
      <c r="C45" s="321"/>
      <c r="D45" s="321"/>
      <c r="E45" s="321"/>
      <c r="F45" s="321"/>
      <c r="G45" s="321"/>
      <c r="H45" s="321"/>
      <c r="I45" s="321"/>
      <c r="J45" s="321"/>
      <c r="K45" s="321"/>
      <c r="L45" s="321"/>
      <c r="M45" s="321"/>
    </row>
    <row r="46" spans="2:13" x14ac:dyDescent="0.25">
      <c r="B46" s="52"/>
      <c r="C46" s="53"/>
      <c r="D46" s="53"/>
      <c r="E46" s="53"/>
      <c r="F46" s="53"/>
      <c r="G46" s="53"/>
      <c r="H46" s="53"/>
      <c r="I46" s="53"/>
      <c r="J46" s="53"/>
      <c r="K46" s="53"/>
      <c r="L46" s="53"/>
      <c r="M46" s="53"/>
    </row>
    <row r="47" spans="2:13" ht="15.75" x14ac:dyDescent="0.25">
      <c r="B47" s="312" t="s">
        <v>51</v>
      </c>
      <c r="C47" s="312"/>
      <c r="D47" s="312"/>
      <c r="E47" s="312"/>
      <c r="F47" s="312"/>
      <c r="G47" s="312"/>
      <c r="H47" s="312"/>
      <c r="I47" s="312"/>
      <c r="J47" s="312"/>
      <c r="K47" s="312"/>
      <c r="L47" s="312"/>
      <c r="M47" s="312"/>
    </row>
    <row r="48" spans="2:13" x14ac:dyDescent="0.25">
      <c r="B48" s="313" t="s">
        <v>52</v>
      </c>
      <c r="C48" s="313"/>
      <c r="D48" s="313"/>
      <c r="E48" s="313"/>
      <c r="F48" s="313"/>
      <c r="G48" s="313"/>
      <c r="H48" s="313"/>
      <c r="I48" s="313"/>
      <c r="J48" s="313"/>
      <c r="K48" s="313"/>
      <c r="L48" s="313"/>
      <c r="M48" s="313"/>
    </row>
    <row r="49" spans="2:13" x14ac:dyDescent="0.25">
      <c r="B49" s="313" t="s">
        <v>53</v>
      </c>
      <c r="C49" s="313"/>
      <c r="D49" s="313"/>
      <c r="E49" s="313"/>
      <c r="F49" s="313"/>
      <c r="G49" s="313"/>
      <c r="H49" s="313"/>
      <c r="I49" s="313"/>
      <c r="J49" s="313"/>
      <c r="K49" s="313"/>
      <c r="L49" s="313"/>
      <c r="M49" s="313"/>
    </row>
    <row r="51" spans="2:13" ht="15.75" x14ac:dyDescent="0.25">
      <c r="B51" s="312" t="s">
        <v>54</v>
      </c>
      <c r="C51" s="312"/>
      <c r="D51" s="312"/>
      <c r="E51" s="312"/>
      <c r="F51" s="312"/>
      <c r="G51" s="312"/>
      <c r="H51" s="312"/>
      <c r="I51" s="312"/>
      <c r="J51" s="312"/>
      <c r="K51" s="312"/>
      <c r="L51" s="312"/>
      <c r="M51" s="312"/>
    </row>
    <row r="52" spans="2:13" x14ac:dyDescent="0.25">
      <c r="B52" s="313" t="s">
        <v>55</v>
      </c>
      <c r="C52" s="313"/>
      <c r="D52" s="313"/>
      <c r="E52" s="313"/>
      <c r="F52" s="313"/>
      <c r="G52" s="313"/>
      <c r="H52" s="313"/>
      <c r="I52" s="313"/>
      <c r="J52" s="313"/>
      <c r="K52" s="313"/>
      <c r="L52" s="313"/>
      <c r="M52" s="313"/>
    </row>
    <row r="53" spans="2:13" x14ac:dyDescent="0.25">
      <c r="B53" s="296" t="s">
        <v>56</v>
      </c>
      <c r="C53" s="294"/>
      <c r="D53" s="294"/>
      <c r="E53" s="294"/>
      <c r="F53" s="294"/>
      <c r="G53" s="294"/>
      <c r="H53" s="294"/>
      <c r="I53" s="294"/>
      <c r="J53" s="294"/>
      <c r="K53" s="294"/>
      <c r="L53" s="294"/>
      <c r="M53" s="294"/>
    </row>
    <row r="54" spans="2:13" x14ac:dyDescent="0.25">
      <c r="B54" s="295" t="s">
        <v>57</v>
      </c>
      <c r="C54" s="295"/>
      <c r="D54" s="295"/>
      <c r="E54" s="295"/>
      <c r="F54" s="295"/>
      <c r="G54" s="295"/>
      <c r="H54" s="295"/>
      <c r="I54" s="295"/>
      <c r="J54" s="295"/>
      <c r="K54" s="295"/>
      <c r="L54" s="295"/>
      <c r="M54" s="295"/>
    </row>
  </sheetData>
  <mergeCells count="54">
    <mergeCell ref="B51:M51"/>
    <mergeCell ref="B52:M52"/>
    <mergeCell ref="B48:M48"/>
    <mergeCell ref="B49:M49"/>
    <mergeCell ref="B47:M47"/>
    <mergeCell ref="B43:M43"/>
    <mergeCell ref="B45:M45"/>
    <mergeCell ref="B42:M42"/>
    <mergeCell ref="B34:D34"/>
    <mergeCell ref="E34:M34"/>
    <mergeCell ref="B35:D35"/>
    <mergeCell ref="E35:M35"/>
    <mergeCell ref="B36:D36"/>
    <mergeCell ref="E36:M36"/>
    <mergeCell ref="B37:D37"/>
    <mergeCell ref="E37:M37"/>
    <mergeCell ref="B39:M39"/>
    <mergeCell ref="B40:M40"/>
    <mergeCell ref="B41:M41"/>
    <mergeCell ref="B33:M33"/>
    <mergeCell ref="B23:D23"/>
    <mergeCell ref="E23:M23"/>
    <mergeCell ref="B24:D24"/>
    <mergeCell ref="E24:M24"/>
    <mergeCell ref="B25:D25"/>
    <mergeCell ref="E25:M25"/>
    <mergeCell ref="B27:M27"/>
    <mergeCell ref="C28:M28"/>
    <mergeCell ref="C29:M29"/>
    <mergeCell ref="C30:M30"/>
    <mergeCell ref="C31:M31"/>
    <mergeCell ref="B22:D22"/>
    <mergeCell ref="E22:M22"/>
    <mergeCell ref="B16:D16"/>
    <mergeCell ref="E16:M16"/>
    <mergeCell ref="B17:D17"/>
    <mergeCell ref="E17:M17"/>
    <mergeCell ref="B18:D18"/>
    <mergeCell ref="E18:M18"/>
    <mergeCell ref="B19:D19"/>
    <mergeCell ref="E19:M19"/>
    <mergeCell ref="B21:M21"/>
    <mergeCell ref="B15:M15"/>
    <mergeCell ref="B2:M2"/>
    <mergeCell ref="B3:M3"/>
    <mergeCell ref="B5:M5"/>
    <mergeCell ref="B6:M6"/>
    <mergeCell ref="B8:M8"/>
    <mergeCell ref="B9:M9"/>
    <mergeCell ref="B11:M11"/>
    <mergeCell ref="B12:E12"/>
    <mergeCell ref="G12:I12"/>
    <mergeCell ref="K12:M12"/>
    <mergeCell ref="B14:M14"/>
  </mergeCells>
  <hyperlinks>
    <hyperlink ref="B45:M45" r:id="rId1" display="IMO Net-Zero Framework Primer" xr:uid="{A8F0712F-2555-4707-B336-CCD6C5B71AF1}"/>
  </hyperlinks>
  <pageMargins left="0.5" right="0.5" top="0.5" bottom="0.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B0749-5F06-4833-81AB-55D4F21169FD}">
  <sheetPr>
    <tabColor rgb="FFF7BE4B"/>
  </sheetPr>
  <dimension ref="B1:N83"/>
  <sheetViews>
    <sheetView showGridLines="0" tabSelected="1" zoomScale="77" zoomScaleNormal="100" workbookViewId="0">
      <pane ySplit="1" topLeftCell="A44" activePane="bottomLeft" state="frozen"/>
      <selection activeCell="C156" sqref="C156"/>
      <selection pane="bottomLeft" activeCell="C12" sqref="C12"/>
    </sheetView>
  </sheetViews>
  <sheetFormatPr defaultColWidth="8.7109375" defaultRowHeight="14.45" customHeight="1" x14ac:dyDescent="0.25"/>
  <cols>
    <col min="1" max="1" width="2" style="16" customWidth="1"/>
    <col min="2" max="2" width="34" style="16" customWidth="1"/>
    <col min="3" max="4" width="39.5703125" style="16" customWidth="1"/>
    <col min="5" max="15" width="12" style="16" customWidth="1"/>
    <col min="16" max="35" width="10" style="16" customWidth="1"/>
    <col min="36" max="16384" width="8.7109375" style="16"/>
  </cols>
  <sheetData>
    <row r="1" spans="2:14" ht="14.45" customHeight="1" x14ac:dyDescent="0.25">
      <c r="B1" s="299" t="s">
        <v>58</v>
      </c>
      <c r="C1" s="298"/>
      <c r="D1" s="298"/>
      <c r="E1" s="298"/>
      <c r="F1" s="298"/>
      <c r="G1" s="298"/>
      <c r="H1" s="298"/>
      <c r="I1" s="298"/>
      <c r="J1" s="298"/>
      <c r="K1" s="298"/>
      <c r="L1" s="298"/>
      <c r="M1" s="298"/>
      <c r="N1" s="298"/>
    </row>
    <row r="3" spans="2:14" ht="14.45" customHeight="1" x14ac:dyDescent="0.25">
      <c r="B3" s="300" t="s">
        <v>59</v>
      </c>
      <c r="C3" s="298"/>
      <c r="D3" s="298"/>
      <c r="E3" s="298"/>
      <c r="F3" s="298"/>
      <c r="G3" s="298"/>
      <c r="H3" s="298"/>
      <c r="I3" s="298"/>
      <c r="J3" s="298"/>
      <c r="K3" s="298"/>
      <c r="L3" s="298"/>
      <c r="M3" s="298"/>
      <c r="N3" s="298"/>
    </row>
    <row r="4" spans="2:14" ht="14.45" customHeight="1" x14ac:dyDescent="0.25">
      <c r="B4" s="301" t="s">
        <v>60</v>
      </c>
      <c r="C4" s="298"/>
      <c r="D4" s="298"/>
      <c r="E4" s="298"/>
      <c r="F4" s="298"/>
      <c r="G4" s="298"/>
      <c r="H4" s="298"/>
      <c r="I4" s="298"/>
      <c r="J4" s="298"/>
      <c r="K4" s="298"/>
      <c r="L4" s="298"/>
      <c r="M4" s="298"/>
      <c r="N4" s="298"/>
    </row>
    <row r="5" spans="2:14" ht="14.45" customHeight="1" x14ac:dyDescent="0.25">
      <c r="B5" s="31" t="s">
        <v>61</v>
      </c>
      <c r="C5" s="35" t="s">
        <v>62</v>
      </c>
      <c r="D5" s="297" t="str">
        <f>IF(C5="Min ZNZ Threshold","→ Year-varying threshold: 19 gCO₂eq/MJ through 2034, then 14 from 2035",IF(C5="Enter my own","→ Custom value from C6",""))</f>
        <v>→ Year-varying threshold: 19 gCO₂eq/MJ through 2034, then 14 from 2035</v>
      </c>
      <c r="E5" s="298"/>
      <c r="F5" s="298"/>
      <c r="G5" s="298"/>
      <c r="H5" s="298"/>
      <c r="I5" s="298"/>
      <c r="J5" s="298"/>
      <c r="K5" s="298"/>
      <c r="L5" s="298"/>
      <c r="M5" s="298"/>
      <c r="N5" s="298"/>
    </row>
    <row r="6" spans="2:14" ht="14.45" customHeight="1" x14ac:dyDescent="0.25">
      <c r="B6" s="31" t="s">
        <v>63</v>
      </c>
      <c r="C6" s="36">
        <v>19</v>
      </c>
      <c r="D6" s="297" t="str">
        <f>IF(C5="Enter my own","→ ACTIVE: used as ZNZ CI threshold","→ INACTIVE: ZNZ CI source is Min ZNZ Threshold, this value ignored")</f>
        <v>→ INACTIVE: ZNZ CI source is Min ZNZ Threshold, this value ignored</v>
      </c>
      <c r="E6" s="298"/>
      <c r="F6" s="298"/>
      <c r="G6" s="298"/>
      <c r="H6" s="298"/>
      <c r="I6" s="298"/>
      <c r="J6" s="298"/>
      <c r="K6" s="298"/>
      <c r="L6" s="298"/>
      <c r="M6" s="298"/>
      <c r="N6" s="298"/>
    </row>
    <row r="7" spans="2:14" ht="14.45" customHeight="1" x14ac:dyDescent="0.25">
      <c r="B7" s="295" t="s">
        <v>64</v>
      </c>
      <c r="C7" s="36" t="s">
        <v>65</v>
      </c>
      <c r="D7" s="302" t="s">
        <v>66</v>
      </c>
      <c r="E7" s="303"/>
      <c r="F7" s="303"/>
      <c r="G7" s="303"/>
      <c r="H7" s="303"/>
      <c r="I7" s="303"/>
      <c r="J7" s="303"/>
      <c r="K7" s="303"/>
      <c r="L7" s="303"/>
      <c r="M7" s="303"/>
      <c r="N7" s="303"/>
    </row>
    <row r="9" spans="2:14" ht="14.45" customHeight="1" x14ac:dyDescent="0.25">
      <c r="B9" s="301" t="s">
        <v>67</v>
      </c>
      <c r="C9" s="298"/>
      <c r="D9" s="298"/>
      <c r="E9" s="298"/>
      <c r="F9" s="298"/>
      <c r="G9" s="298"/>
      <c r="H9" s="298"/>
      <c r="I9" s="298"/>
      <c r="J9" s="298"/>
      <c r="K9" s="298"/>
      <c r="L9" s="298"/>
      <c r="M9" s="298"/>
      <c r="N9" s="298"/>
    </row>
    <row r="10" spans="2:14" ht="14.45" customHeight="1" x14ac:dyDescent="0.25">
      <c r="B10" s="31" t="s">
        <v>68</v>
      </c>
      <c r="C10" s="35" t="s">
        <v>69</v>
      </c>
      <c r="D10" s="297" t="str">
        <f>IF(C10="Use CIA Assumption","→ IMO Comprehensive Impact Assessment in Assumptions row 20 (year-varying trajectory)",IF(C10="Enter fixed price","→ Constant from C11 (USD/tonne)",""))</f>
        <v>→ IMO Comprehensive Impact Assessment in Assumptions row 20 (year-varying trajectory)</v>
      </c>
      <c r="E10" s="298"/>
      <c r="F10" s="298"/>
      <c r="G10" s="298"/>
      <c r="H10" s="298"/>
      <c r="I10" s="298"/>
      <c r="J10" s="298"/>
      <c r="K10" s="298"/>
      <c r="L10" s="298"/>
      <c r="M10" s="298"/>
      <c r="N10" s="298"/>
    </row>
    <row r="11" spans="2:14" ht="14.45" customHeight="1" x14ac:dyDescent="0.25">
      <c r="B11" s="31" t="s">
        <v>70</v>
      </c>
      <c r="C11" s="36">
        <v>600</v>
      </c>
      <c r="D11" s="297" t="str">
        <f>IF(C10="Enter fixed price","→ ACTIVE: used as VLSFO price","→ INACTIVE: VLSFO source is IMO Comprehensive Impact Assessment in Assumptions row 20, this value ignored")</f>
        <v>→ INACTIVE: VLSFO source is IMO Comprehensive Impact Assessment in Assumptions row 20, this value ignored</v>
      </c>
      <c r="E11" s="298"/>
      <c r="F11" s="298"/>
      <c r="G11" s="298"/>
      <c r="H11" s="298"/>
      <c r="I11" s="298"/>
      <c r="J11" s="298"/>
      <c r="K11" s="298"/>
      <c r="L11" s="298"/>
      <c r="M11" s="298"/>
      <c r="N11" s="298"/>
    </row>
    <row r="12" spans="2:14" ht="14.45" customHeight="1" x14ac:dyDescent="0.25">
      <c r="B12" s="31" t="s">
        <v>71</v>
      </c>
      <c r="C12" s="35" t="s">
        <v>72</v>
      </c>
      <c r="D12" s="297" t="str">
        <f>IF(C12="LNG Diesel slow speed - FuelEU","→ ~77 gCO₂eq/MJ (FuelEU Annex II default)",IF(C12="LNG Diesel slow speed - High","→ Higher CI: high methane slip case",IF(C12="LNG Diesel slow speed - Low","→ ~76 gCO₂eq/MJ: low methane slip case",IF(C12="LNG Diesel slow speed - Midpoint","→ Midpoint of High and Low slip cases",""))))&amp;"  ·  based on existing GESAMP default submissions and IMO LCA Guidelines"</f>
        <v>→ Midpoint of High and Low slip cases  ·  based on existing GESAMP default submissions and IMO LCA Guidelines</v>
      </c>
      <c r="E12" s="298"/>
      <c r="F12" s="298"/>
      <c r="G12" s="298"/>
      <c r="H12" s="298"/>
      <c r="I12" s="298"/>
      <c r="J12" s="298"/>
      <c r="K12" s="298"/>
      <c r="L12" s="298"/>
      <c r="M12" s="298"/>
      <c r="N12" s="298"/>
    </row>
    <row r="13" spans="2:14" ht="14.45" customHeight="1" x14ac:dyDescent="0.25">
      <c r="B13" s="31" t="s">
        <v>73</v>
      </c>
      <c r="C13" s="35" t="s">
        <v>69</v>
      </c>
      <c r="D13" s="297" t="str">
        <f>IF(C13="Use CIA Assumption","→ IMO Comprehensive Impact Assessment in Assumptions row 21 (year-varying)",IF(C13="Enter fixed price","→ Constant from C14 (USD/tonne)",""))</f>
        <v>→ IMO Comprehensive Impact Assessment in Assumptions row 21 (year-varying)</v>
      </c>
      <c r="E13" s="298"/>
      <c r="F13" s="298"/>
      <c r="G13" s="298"/>
      <c r="H13" s="298"/>
      <c r="I13" s="298"/>
      <c r="J13" s="298"/>
      <c r="K13" s="298"/>
      <c r="L13" s="298"/>
      <c r="M13" s="298"/>
      <c r="N13" s="298"/>
    </row>
    <row r="14" spans="2:14" ht="14.45" customHeight="1" x14ac:dyDescent="0.25">
      <c r="B14" s="31" t="s">
        <v>74</v>
      </c>
      <c r="C14" s="36">
        <v>600</v>
      </c>
      <c r="D14" s="297" t="str">
        <f>IF(C13="Enter fixed price","→ ACTIVE: used as LNG price","→ INACTIVE: LNG source is IMO Comprehensive Impact Assessment in Assumptions row 21, this value ignored")</f>
        <v>→ INACTIVE: LNG source is IMO Comprehensive Impact Assessment in Assumptions row 21, this value ignored</v>
      </c>
      <c r="E14" s="298"/>
      <c r="F14" s="298"/>
      <c r="G14" s="298"/>
      <c r="H14" s="298"/>
      <c r="I14" s="298"/>
      <c r="J14" s="298"/>
      <c r="K14" s="298"/>
      <c r="L14" s="298"/>
      <c r="M14" s="298"/>
      <c r="N14" s="298"/>
    </row>
    <row r="15" spans="2:14" ht="14.45" customHeight="1" x14ac:dyDescent="0.25">
      <c r="B15" s="31" t="s">
        <v>75</v>
      </c>
      <c r="C15" s="35" t="s">
        <v>69</v>
      </c>
      <c r="D15" s="297" t="str">
        <f>IF(C15="Use CIA Assumption","→  IMO Comprehensive Impact Assessment in Assumptions row 22 (year-varying)",IF(C15="Enter fixed price","→ Constant from C16 (USD/tonne)",""))</f>
        <v>→  IMO Comprehensive Impact Assessment in Assumptions row 22 (year-varying)</v>
      </c>
      <c r="E15" s="298"/>
      <c r="F15" s="298"/>
      <c r="G15" s="298"/>
      <c r="H15" s="298"/>
      <c r="I15" s="298"/>
      <c r="J15" s="298"/>
      <c r="K15" s="298"/>
      <c r="L15" s="298"/>
      <c r="M15" s="298"/>
      <c r="N15" s="298"/>
    </row>
    <row r="16" spans="2:14" ht="14.45" customHeight="1" x14ac:dyDescent="0.25">
      <c r="B16" s="31" t="s">
        <v>76</v>
      </c>
      <c r="C16" s="36">
        <v>1800</v>
      </c>
      <c r="D16" s="297" t="str">
        <f>IF(C15="Enter fixed price","→ ACTIVE: used as bio-diesel price","→ INACTIVE: source is  IMO Comprehensive Impact Assessment in Assumptions row 22, this value ignored")</f>
        <v>→ INACTIVE: source is  IMO Comprehensive Impact Assessment in Assumptions row 22, this value ignored</v>
      </c>
      <c r="E16" s="298"/>
      <c r="F16" s="298"/>
      <c r="G16" s="298"/>
      <c r="H16" s="298"/>
      <c r="I16" s="298"/>
      <c r="J16" s="298"/>
      <c r="K16" s="298"/>
      <c r="L16" s="298"/>
      <c r="M16" s="298"/>
      <c r="N16" s="298"/>
    </row>
    <row r="17" spans="2:14" ht="14.45" customHeight="1" x14ac:dyDescent="0.25">
      <c r="B17" s="31" t="s">
        <v>77</v>
      </c>
      <c r="C17" s="35" t="s">
        <v>69</v>
      </c>
      <c r="D17" s="297" t="str">
        <f>IF(C17="Use CIA Assumption","→  IMO Comprehensive Impact Assessment in Assumptions row 23 (year-varying)",IF(C17="Enter fixed price","→ Constant from C18 (USD/tonne)",""))</f>
        <v>→  IMO Comprehensive Impact Assessment in Assumptions row 23 (year-varying)</v>
      </c>
      <c r="E17" s="298"/>
      <c r="F17" s="298"/>
      <c r="G17" s="298"/>
      <c r="H17" s="298"/>
      <c r="I17" s="298"/>
      <c r="J17" s="298"/>
      <c r="K17" s="298"/>
      <c r="L17" s="298"/>
      <c r="M17" s="298"/>
      <c r="N17" s="298"/>
    </row>
    <row r="18" spans="2:14" ht="14.45" customHeight="1" x14ac:dyDescent="0.25">
      <c r="B18" s="31" t="s">
        <v>78</v>
      </c>
      <c r="C18" s="36">
        <v>1300</v>
      </c>
      <c r="D18" s="297" t="str">
        <f>IF(C17="Enter fixed price","→ ACTIVE: used as bio-methane price","→ INACTIVE: source is IMO Comprehensive Impact Assessment in Assumptions row 21, this value ignored")</f>
        <v>→ INACTIVE: source is IMO Comprehensive Impact Assessment in Assumptions row 21, this value ignored</v>
      </c>
      <c r="E18" s="298"/>
      <c r="F18" s="298"/>
      <c r="G18" s="298"/>
      <c r="H18" s="298"/>
      <c r="I18" s="298"/>
      <c r="J18" s="298"/>
      <c r="K18" s="298"/>
      <c r="L18" s="298"/>
      <c r="M18" s="298"/>
      <c r="N18" s="298"/>
    </row>
    <row r="19" spans="2:14" ht="14.45" customHeight="1" x14ac:dyDescent="0.25">
      <c r="B19" s="31" t="s">
        <v>79</v>
      </c>
      <c r="C19" s="35" t="s">
        <v>80</v>
      </c>
      <c r="D19" s="297" t="str">
        <f>IF(C19="Modelled ZNZ average","→ Modelled: average of e-NH₃ and e-MeOH costs, source is MMMCZCS modelled assumptions in Assumptions row 24.",IF(C19="Modelled ZNZ High","→ Modelled: more expensive ZNZ pathway (e-MeOH-leaning), source is MMMCZCS modelled assumptions in Assumptions row 26",IF(C19="Modelled ZNZ Low","→ Modelled: cheaper ZNZ pathway (e-NH₃-leaning), source is MMMCZCS modelled assumptions in Assumptions row 25",IF(C19="Enter fixed price","→ Constant from C20 (USD/tonne)",""))))</f>
        <v>→ Modelled: average of e-NH₃ and e-MeOH costs, source is MMMCZCS modelled assumptions in Assumptions row 24.</v>
      </c>
      <c r="E19" s="298"/>
      <c r="F19" s="298"/>
      <c r="G19" s="298"/>
      <c r="H19" s="298"/>
      <c r="I19" s="298"/>
      <c r="J19" s="298"/>
      <c r="K19" s="298"/>
      <c r="L19" s="298"/>
      <c r="M19" s="298"/>
      <c r="N19" s="298"/>
    </row>
    <row r="20" spans="2:14" ht="14.45" customHeight="1" x14ac:dyDescent="0.25">
      <c r="B20" s="31" t="s">
        <v>81</v>
      </c>
      <c r="C20" s="36">
        <v>2000</v>
      </c>
      <c r="D20" s="297" t="str">
        <f>IF(C19="Enter fixed price","→ ACTIVE: used as ZNZ price","→ INACTIVE: source is MMMCZCS modelled assumptions in Assumptions row 24-26, this value ignored")</f>
        <v>→ INACTIVE: source is MMMCZCS modelled assumptions in Assumptions row 24-26, this value ignored</v>
      </c>
      <c r="E20" s="298"/>
      <c r="F20" s="298"/>
      <c r="G20" s="298"/>
      <c r="H20" s="298"/>
      <c r="I20" s="298"/>
      <c r="J20" s="298"/>
      <c r="K20" s="298"/>
      <c r="L20" s="298"/>
      <c r="M20" s="298"/>
      <c r="N20" s="298"/>
    </row>
    <row r="22" spans="2:14" ht="14.45" customHeight="1" x14ac:dyDescent="0.25">
      <c r="B22" s="301" t="s">
        <v>82</v>
      </c>
      <c r="C22" s="298"/>
      <c r="D22" s="298"/>
      <c r="E22" s="298"/>
      <c r="F22" s="298"/>
      <c r="G22" s="298"/>
      <c r="H22" s="298"/>
      <c r="I22" s="298"/>
      <c r="J22" s="298"/>
      <c r="K22" s="298"/>
      <c r="L22" s="298"/>
      <c r="M22" s="298"/>
      <c r="N22" s="298"/>
    </row>
    <row r="23" spans="2:14" ht="14.45" customHeight="1" x14ac:dyDescent="0.25">
      <c r="B23" s="31" t="s">
        <v>83</v>
      </c>
      <c r="C23" s="37" t="s">
        <v>84</v>
      </c>
      <c r="D23" s="297" t="str">
        <f>IF(C23="Blend in bio-diesel when cheaper than RUs","→ Smart blend: cost-min between bio-diesel and T2 RU each year based on biodiesel cost assumptions",IF(C23="VLSFO only and always pay RU","→ Pure VLSFO + always pay T2 RU (no bio-diesel; non-compliance reference)",""))</f>
        <v>→ Smart blend: cost-min between bio-diesel and T2 RU each year based on biodiesel cost assumptions</v>
      </c>
      <c r="E23" s="298"/>
      <c r="F23" s="298"/>
      <c r="G23" s="298"/>
      <c r="H23" s="298"/>
      <c r="I23" s="298"/>
      <c r="J23" s="298"/>
      <c r="K23" s="298"/>
      <c r="L23" s="298"/>
      <c r="M23" s="298"/>
      <c r="N23" s="298"/>
    </row>
    <row r="24" spans="2:14" ht="14.45" customHeight="1" x14ac:dyDescent="0.25">
      <c r="B24" s="31" t="s">
        <v>85</v>
      </c>
      <c r="C24" s="37" t="s">
        <v>86</v>
      </c>
      <c r="D24" s="297" t="str">
        <f>IF(C24="Blend in bio-methane when cheaper than RUs","→ Smart blend: cost-min between bio-methane and T2 RU each year based on biomethane cost assumptions",IF(C24="LNG only and always pay RU","→ Pure LNG + always pay T2 RU (no bio-methane; non-compliance reference)",""))</f>
        <v>→ Smart blend: cost-min between bio-methane and T2 RU each year based on biomethane cost assumptions</v>
      </c>
      <c r="E24" s="298"/>
      <c r="F24" s="298"/>
      <c r="G24" s="298"/>
      <c r="H24" s="298"/>
      <c r="I24" s="298"/>
      <c r="J24" s="298"/>
      <c r="K24" s="298"/>
      <c r="L24" s="298"/>
      <c r="M24" s="298"/>
      <c r="N24" s="298"/>
    </row>
    <row r="26" spans="2:14" ht="14.45" customHeight="1" x14ac:dyDescent="0.25">
      <c r="B26" s="301" t="s">
        <v>87</v>
      </c>
      <c r="C26" s="298"/>
      <c r="D26" s="298"/>
      <c r="E26" s="298"/>
      <c r="F26" s="298"/>
      <c r="G26" s="298"/>
      <c r="H26" s="298"/>
      <c r="I26" s="298"/>
      <c r="J26" s="298"/>
      <c r="K26" s="298"/>
      <c r="L26" s="298"/>
      <c r="M26" s="298"/>
      <c r="N26" s="298"/>
    </row>
    <row r="27" spans="2:14" ht="14.45" customHeight="1" x14ac:dyDescent="0.25">
      <c r="B27" s="31" t="s">
        <v>88</v>
      </c>
      <c r="C27" s="36">
        <v>14.4</v>
      </c>
      <c r="D27" s="297" t="str">
        <f>"→ Source: IMO Comprehensive Impact Assessment, VLSFO 2030 price (14.4 USD/GJ). Affordability threshold = benchmark × 2 (Liberia CL.5213: production price ≤ 100% above benchmark)"</f>
        <v>→ Source: IMO Comprehensive Impact Assessment, VLSFO 2030 price (14.4 USD/GJ). Affordability threshold = benchmark × 2 (Liberia CL.5213: production price ≤ 100% above benchmark)</v>
      </c>
      <c r="E27" s="298"/>
      <c r="F27" s="298"/>
      <c r="G27" s="298"/>
      <c r="H27" s="298"/>
      <c r="I27" s="298"/>
      <c r="J27" s="298"/>
      <c r="K27" s="298"/>
      <c r="L27" s="298"/>
      <c r="M27" s="298"/>
      <c r="N27" s="298"/>
    </row>
    <row r="28" spans="2:14" ht="14.45" customHeight="1" x14ac:dyDescent="0.25">
      <c r="B28" s="31" t="s">
        <v>89</v>
      </c>
      <c r="C28" s="38">
        <v>2028</v>
      </c>
      <c r="D28" s="297" t="str">
        <f>"→ Reference year (t=0) for fuel uptake projection"</f>
        <v>→ Reference year (t=0) for fuel uptake projection</v>
      </c>
      <c r="E28" s="298"/>
      <c r="F28" s="298"/>
      <c r="G28" s="298"/>
      <c r="H28" s="298"/>
      <c r="I28" s="298"/>
      <c r="J28" s="298"/>
      <c r="K28" s="298"/>
      <c r="L28" s="298"/>
      <c r="M28" s="298"/>
      <c r="N28" s="298"/>
    </row>
    <row r="30" spans="2:14" ht="14.45" customHeight="1" x14ac:dyDescent="0.25">
      <c r="B30" s="304" t="s">
        <v>90</v>
      </c>
      <c r="C30" s="305"/>
      <c r="D30" s="305"/>
      <c r="E30" s="305"/>
      <c r="F30" s="305"/>
      <c r="G30" s="305"/>
      <c r="H30" s="305"/>
      <c r="I30" s="305"/>
      <c r="J30" s="305"/>
      <c r="K30" s="305"/>
      <c r="L30" s="305"/>
      <c r="M30" s="305"/>
      <c r="N30" s="305"/>
    </row>
    <row r="31" spans="2:14" ht="14.45" customHeight="1" x14ac:dyDescent="0.25">
      <c r="B31" s="31" t="s">
        <v>91</v>
      </c>
      <c r="C31" s="35" t="s">
        <v>92</v>
      </c>
      <c r="D31" s="297" t="str">
        <f>IF(C31="Yes","→ Bio-diesel abatement cost participates in setting SU market price",IF(C31="No","→ Excluded from SU price determination",""))</f>
        <v>→ Bio-diesel abatement cost participates in setting SU market price</v>
      </c>
      <c r="E31" s="298"/>
      <c r="F31" s="298"/>
      <c r="G31" s="298"/>
      <c r="H31" s="298"/>
      <c r="I31" s="298"/>
      <c r="J31" s="298"/>
      <c r="K31" s="298"/>
      <c r="L31" s="298"/>
      <c r="M31" s="298"/>
      <c r="N31" s="298"/>
    </row>
    <row r="32" spans="2:14" ht="14.45" customHeight="1" x14ac:dyDescent="0.25">
      <c r="B32" s="31" t="s">
        <v>93</v>
      </c>
      <c r="C32" s="35" t="s">
        <v>92</v>
      </c>
      <c r="D32" s="297" t="str">
        <f>IF(C32="Yes","→ Bio-methane participates in SU price determination",IF(C32="No","→ Excluded from SU price determination",""))</f>
        <v>→ Bio-methane participates in SU price determination</v>
      </c>
      <c r="E32" s="298"/>
      <c r="F32" s="298"/>
      <c r="G32" s="298"/>
      <c r="H32" s="298"/>
      <c r="I32" s="298"/>
      <c r="J32" s="298"/>
      <c r="K32" s="298"/>
      <c r="L32" s="298"/>
      <c r="M32" s="298"/>
      <c r="N32" s="298"/>
    </row>
    <row r="33" spans="2:14" ht="14.45" customHeight="1" x14ac:dyDescent="0.25">
      <c r="B33" s="31" t="s">
        <v>95</v>
      </c>
      <c r="C33" s="35" t="s">
        <v>94</v>
      </c>
      <c r="D33" s="297" t="str">
        <f>IF(C33="Yes","→ ZNZ participates in SU price determination",IF(C33="No","→ Excluded from SU price determination",""))</f>
        <v>→ Excluded from SU price determination</v>
      </c>
      <c r="E33" s="298"/>
      <c r="F33" s="298"/>
      <c r="G33" s="298"/>
      <c r="H33" s="298"/>
      <c r="I33" s="298"/>
      <c r="J33" s="298"/>
      <c r="K33" s="298"/>
      <c r="L33" s="298"/>
      <c r="M33" s="298"/>
      <c r="N33" s="298"/>
    </row>
    <row r="35" spans="2:14" ht="14.45" customHeight="1" x14ac:dyDescent="0.25">
      <c r="B35" s="301" t="s">
        <v>96</v>
      </c>
      <c r="C35" s="298"/>
      <c r="D35" s="298"/>
      <c r="E35" s="298"/>
      <c r="F35" s="298"/>
      <c r="G35" s="298"/>
      <c r="H35" s="298"/>
      <c r="I35" s="298"/>
      <c r="J35" s="298"/>
      <c r="K35" s="298"/>
      <c r="L35" s="298"/>
      <c r="M35" s="298"/>
      <c r="N35" s="298"/>
    </row>
    <row r="36" spans="2:14" ht="14.45" customHeight="1" x14ac:dyDescent="0.25">
      <c r="B36" s="59" t="s">
        <v>97</v>
      </c>
      <c r="C36" s="295"/>
      <c r="D36" s="295"/>
      <c r="E36" s="295"/>
      <c r="F36" s="295"/>
      <c r="G36" s="295"/>
      <c r="H36" s="295"/>
      <c r="I36" s="295"/>
      <c r="J36" s="295"/>
      <c r="K36" s="295"/>
      <c r="L36" s="295"/>
      <c r="M36" s="295"/>
      <c r="N36" s="295"/>
    </row>
    <row r="37" spans="2:14" ht="14.45" customHeight="1" x14ac:dyDescent="0.25">
      <c r="B37" s="31" t="s">
        <v>98</v>
      </c>
      <c r="C37" s="31" t="s">
        <v>99</v>
      </c>
      <c r="D37" s="31" t="s">
        <v>100</v>
      </c>
      <c r="E37" s="295"/>
      <c r="F37" s="295"/>
      <c r="G37" s="295"/>
      <c r="H37" s="295"/>
      <c r="I37" s="295"/>
      <c r="J37" s="295"/>
      <c r="K37" s="295"/>
      <c r="L37" s="295"/>
      <c r="M37" s="295"/>
      <c r="N37" s="295"/>
    </row>
    <row r="38" spans="2:14" ht="14.45" customHeight="1" x14ac:dyDescent="0.25">
      <c r="B38" s="31" t="s">
        <v>101</v>
      </c>
      <c r="C38" s="35">
        <v>380</v>
      </c>
      <c r="D38" s="35">
        <v>100</v>
      </c>
      <c r="E38" s="295"/>
      <c r="F38" s="295"/>
      <c r="G38" s="295"/>
      <c r="H38" s="295"/>
      <c r="I38" s="295"/>
      <c r="J38" s="295"/>
      <c r="K38" s="295"/>
      <c r="L38" s="295"/>
      <c r="M38" s="295"/>
      <c r="N38" s="295"/>
    </row>
    <row r="39" spans="2:14" ht="14.45" customHeight="1" x14ac:dyDescent="0.25">
      <c r="B39" s="31" t="s">
        <v>102</v>
      </c>
      <c r="C39" s="35">
        <v>380</v>
      </c>
      <c r="D39" s="35">
        <v>100</v>
      </c>
      <c r="E39" s="295"/>
      <c r="F39" s="295"/>
      <c r="G39" s="295"/>
      <c r="H39" s="295"/>
      <c r="I39" s="295"/>
      <c r="J39" s="295"/>
      <c r="K39" s="295"/>
      <c r="L39" s="295"/>
      <c r="M39" s="295"/>
      <c r="N39" s="295"/>
    </row>
    <row r="40" spans="2:14" ht="14.45" customHeight="1" x14ac:dyDescent="0.25">
      <c r="B40" s="31" t="s">
        <v>103</v>
      </c>
      <c r="C40" s="35">
        <v>380</v>
      </c>
      <c r="D40" s="35">
        <v>300</v>
      </c>
      <c r="E40" s="295"/>
      <c r="F40" s="295"/>
      <c r="G40" s="295"/>
      <c r="H40" s="295"/>
      <c r="I40" s="295"/>
      <c r="J40" s="295"/>
      <c r="K40" s="295"/>
      <c r="L40" s="295"/>
      <c r="M40" s="295"/>
      <c r="N40" s="295"/>
    </row>
    <row r="41" spans="2:14" ht="14.45" customHeight="1" x14ac:dyDescent="0.25">
      <c r="B41" s="297" t="s">
        <v>104</v>
      </c>
      <c r="C41" s="298"/>
      <c r="D41" s="298"/>
      <c r="E41" s="298"/>
      <c r="F41" s="298"/>
      <c r="G41" s="298"/>
      <c r="H41" s="298"/>
      <c r="I41" s="298"/>
      <c r="J41" s="298"/>
      <c r="K41" s="298"/>
      <c r="L41" s="298"/>
      <c r="M41" s="298"/>
      <c r="N41" s="298"/>
    </row>
    <row r="43" spans="2:14" ht="14.45" customHeight="1" x14ac:dyDescent="0.25">
      <c r="B43" s="300" t="s">
        <v>105</v>
      </c>
      <c r="C43" s="300"/>
      <c r="D43" s="300"/>
      <c r="E43" s="300"/>
      <c r="F43" s="300"/>
      <c r="G43" s="300"/>
      <c r="H43" s="300"/>
      <c r="I43" s="300"/>
      <c r="J43" s="300"/>
      <c r="K43" s="300"/>
      <c r="L43" s="300"/>
      <c r="M43" s="300"/>
      <c r="N43" s="300"/>
    </row>
    <row r="44" spans="2:14" ht="14.45" customHeight="1" x14ac:dyDescent="0.25">
      <c r="B44" s="31" t="s">
        <v>106</v>
      </c>
      <c r="C44" s="295" t="str">
        <f>Overview!$C$20&amp;"  ·  "&amp;Overview!$C$19</f>
        <v>NZF as-is  ·  2035</v>
      </c>
      <c r="D44" s="295"/>
      <c r="E44" s="295"/>
      <c r="F44" s="295"/>
      <c r="G44" s="295"/>
      <c r="H44" s="295"/>
      <c r="I44" s="295"/>
      <c r="J44" s="295"/>
      <c r="K44" s="295"/>
      <c r="L44" s="295"/>
      <c r="M44" s="295"/>
      <c r="N44" s="295"/>
    </row>
    <row r="45" spans="2:14" ht="14.45" customHeight="1" x14ac:dyDescent="0.25">
      <c r="B45" s="31" t="s">
        <v>107</v>
      </c>
      <c r="C45" s="295" t="str">
        <f>TEXT(INDEX(Calculation!$H$48:$S$48,MATCH(Overview!$C$19,Calculation!$H$3:$S$3,0)),"0.0")&amp;" USD/tCO2eq"&amp;IF(INDEX(Calculation!$H$48:$S$48,MATCH(Overview!$C$19,Calculation!$H$3:$S$3,0))&gt;=INDEX(Calculation!$H$47:$S$47,MATCH(Overview!$C$19,Calculation!$H$3:$S$3,0))-0.01,"  — at ceiling (cap-binding)","  — abatement-driven")</f>
        <v>326 USD/tCO2eq  — abatement-driven</v>
      </c>
      <c r="D45" s="295"/>
      <c r="E45" s="295"/>
      <c r="F45" s="295"/>
      <c r="G45" s="295"/>
      <c r="H45" s="295"/>
      <c r="I45" s="295"/>
      <c r="J45" s="295"/>
      <c r="K45" s="295"/>
      <c r="L45" s="295"/>
      <c r="M45" s="295"/>
      <c r="N45" s="295"/>
    </row>
    <row r="46" spans="2:14" ht="14.45" customHeight="1" x14ac:dyDescent="0.25">
      <c r="B46" s="31" t="s">
        <v>108</v>
      </c>
      <c r="C46" s="295" t="str">
        <f>IF(Proposals!$H$10="Yes","SU purchase at market price s — no Fund payment","Fund payment at the Tier 1 RU price")</f>
        <v>Fund payment at the Tier 1 RU price</v>
      </c>
      <c r="D46" s="295"/>
      <c r="E46" s="295"/>
      <c r="F46" s="295"/>
      <c r="G46" s="295"/>
      <c r="H46" s="295"/>
      <c r="I46" s="295"/>
      <c r="J46" s="295"/>
      <c r="K46" s="295"/>
      <c r="L46" s="295"/>
      <c r="M46" s="295"/>
      <c r="N46" s="295"/>
    </row>
    <row r="47" spans="2:14" ht="14.45" customHeight="1" x14ac:dyDescent="0.25">
      <c r="B47" s="31" t="s">
        <v>109</v>
      </c>
      <c r="C47" s="295" t="str">
        <f>"ZNZ CI at "&amp;Overview!$C$19&amp;": "&amp;TEXT(INDEX(Calculation!$H$35:$S$35,MATCH(Overview!$C$19,Calculation!$H$3:$S$3,0)),"0.0")&amp;" g/MJ"</f>
        <v>ZNZ CI at 2035: 14 g/MJ</v>
      </c>
      <c r="D47" s="295"/>
      <c r="E47" s="295"/>
      <c r="F47" s="295"/>
      <c r="G47" s="295"/>
      <c r="H47" s="295"/>
      <c r="I47" s="295"/>
      <c r="J47" s="295"/>
      <c r="K47" s="295"/>
      <c r="L47" s="295"/>
      <c r="M47" s="295"/>
      <c r="N47" s="295"/>
    </row>
    <row r="48" spans="2:14" ht="14.45" customHeight="1" x14ac:dyDescent="0.25">
      <c r="B48" s="31" t="s">
        <v>110</v>
      </c>
      <c r="C48" s="295" t="str">
        <f>IF(Overview!$C$20&lt;&gt;"Market-defined GFS","n/a (Market-defined GFS only)",TRIM(IF(Assumptions!$K$69="Yes",Assumptions!$B$69&amp;"  ","")&amp;IF(Assumptions!$K$70="Yes",Assumptions!$B$70&amp;"  ","")&amp;IF(Assumptions!$K$71="Yes",Assumptions!$B$71&amp;"  ","")&amp;IF(Assumptions!$K$72="Yes",Assumptions!$B$72&amp;"  ","")&amp;IF(Assumptions!$K$73="Yes",Assumptions!$B$73&amp;"  ","")&amp;IF(Assumptions!$K$74="Yes",Assumptions!$B$74&amp;"  ","")&amp;IF(Assumptions!$K$75="Yes",Assumptions!$B$75&amp;"  ","")&amp;IF(Assumptions!$K$76="Yes",Assumptions!$B$76&amp;"  ","")))</f>
        <v>n/a (Market-defined GFS only)</v>
      </c>
      <c r="D48" s="295"/>
      <c r="E48" s="295"/>
      <c r="F48" s="295"/>
      <c r="G48" s="295"/>
      <c r="H48" s="295"/>
      <c r="I48" s="295"/>
      <c r="J48" s="295"/>
      <c r="K48" s="295"/>
      <c r="L48" s="295"/>
      <c r="M48" s="295"/>
      <c r="N48" s="295"/>
    </row>
    <row r="49" spans="2:3" ht="14.45" customHeight="1" x14ac:dyDescent="0.25">
      <c r="B49" s="31" t="s">
        <v>111</v>
      </c>
      <c r="C49" s="295" t="str">
        <f>TEXT(IFERROR(INDEX(Assumptions!$E$17:$P$19,MATCH(Input!$C$7,Assumptions!$B$17:$B$19,0),MATCH(Overview!$C$19,Assumptions!$E$11:$P$11,0)),0),"0")&amp;" USD/tCO2eq ("&amp;Input!$C$7&amp;")"</f>
        <v>100 USD/tCO2eq (Reward $100)</v>
      </c>
    </row>
    <row r="59" spans="2:3" ht="14.45" customHeight="1" x14ac:dyDescent="0.25">
      <c r="B59" t="s">
        <v>112</v>
      </c>
      <c r="C59" s="295"/>
    </row>
    <row r="60" spans="2:3" ht="14.45" customHeight="1" x14ac:dyDescent="0.25">
      <c r="B60" t="s">
        <v>113</v>
      </c>
      <c r="C60" t="s">
        <v>62</v>
      </c>
    </row>
    <row r="61" spans="2:3" ht="14.45" customHeight="1" x14ac:dyDescent="0.25">
      <c r="B61" s="295"/>
      <c r="C61" t="s">
        <v>114</v>
      </c>
    </row>
    <row r="62" spans="2:3" ht="14.45" customHeight="1" x14ac:dyDescent="0.25">
      <c r="B62" t="s">
        <v>115</v>
      </c>
      <c r="C62" t="s">
        <v>69</v>
      </c>
    </row>
    <row r="63" spans="2:3" ht="14.45" customHeight="1" x14ac:dyDescent="0.25">
      <c r="B63" s="295"/>
      <c r="C63" t="s">
        <v>116</v>
      </c>
    </row>
    <row r="64" spans="2:3" ht="14.45" customHeight="1" x14ac:dyDescent="0.25">
      <c r="B64" t="s">
        <v>117</v>
      </c>
      <c r="C64" t="s">
        <v>118</v>
      </c>
    </row>
    <row r="65" spans="2:3" ht="14.45" customHeight="1" x14ac:dyDescent="0.25">
      <c r="B65" s="295"/>
      <c r="C65" t="s">
        <v>119</v>
      </c>
    </row>
    <row r="66" spans="2:3" ht="14.45" customHeight="1" x14ac:dyDescent="0.25">
      <c r="B66" s="295"/>
      <c r="C66" t="s">
        <v>120</v>
      </c>
    </row>
    <row r="67" spans="2:3" ht="14.45" customHeight="1" x14ac:dyDescent="0.25">
      <c r="B67" s="295"/>
      <c r="C67" t="s">
        <v>72</v>
      </c>
    </row>
    <row r="68" spans="2:3" ht="14.45" customHeight="1" x14ac:dyDescent="0.25">
      <c r="B68" t="s">
        <v>121</v>
      </c>
      <c r="C68" t="s">
        <v>69</v>
      </c>
    </row>
    <row r="69" spans="2:3" ht="14.45" customHeight="1" x14ac:dyDescent="0.25">
      <c r="B69" s="295"/>
      <c r="C69" t="s">
        <v>116</v>
      </c>
    </row>
    <row r="70" spans="2:3" ht="14.45" customHeight="1" x14ac:dyDescent="0.25">
      <c r="B70" t="s">
        <v>122</v>
      </c>
      <c r="C70" t="s">
        <v>69</v>
      </c>
    </row>
    <row r="71" spans="2:3" ht="14.45" customHeight="1" x14ac:dyDescent="0.25">
      <c r="B71" s="295"/>
      <c r="C71" t="s">
        <v>116</v>
      </c>
    </row>
    <row r="72" spans="2:3" ht="14.45" customHeight="1" x14ac:dyDescent="0.25">
      <c r="B72" t="s">
        <v>123</v>
      </c>
      <c r="C72" t="s">
        <v>69</v>
      </c>
    </row>
    <row r="73" spans="2:3" ht="14.45" customHeight="1" x14ac:dyDescent="0.25">
      <c r="B73" s="295"/>
      <c r="C73" t="s">
        <v>116</v>
      </c>
    </row>
    <row r="74" spans="2:3" ht="14.45" customHeight="1" x14ac:dyDescent="0.25">
      <c r="B74" t="s">
        <v>124</v>
      </c>
      <c r="C74" t="s">
        <v>80</v>
      </c>
    </row>
    <row r="75" spans="2:3" ht="14.45" customHeight="1" x14ac:dyDescent="0.25">
      <c r="B75" s="295"/>
      <c r="C75" t="s">
        <v>125</v>
      </c>
    </row>
    <row r="76" spans="2:3" ht="14.45" customHeight="1" x14ac:dyDescent="0.25">
      <c r="B76" s="295"/>
      <c r="C76" t="s">
        <v>126</v>
      </c>
    </row>
    <row r="77" spans="2:3" ht="14.45" customHeight="1" x14ac:dyDescent="0.25">
      <c r="B77" s="295"/>
      <c r="C77" t="s">
        <v>116</v>
      </c>
    </row>
    <row r="78" spans="2:3" ht="14.45" customHeight="1" x14ac:dyDescent="0.25">
      <c r="B78" t="s">
        <v>127</v>
      </c>
      <c r="C78" t="s">
        <v>84</v>
      </c>
    </row>
    <row r="79" spans="2:3" ht="14.45" customHeight="1" x14ac:dyDescent="0.25">
      <c r="B79" s="295"/>
      <c r="C79" t="s">
        <v>128</v>
      </c>
    </row>
    <row r="80" spans="2:3" ht="14.45" customHeight="1" x14ac:dyDescent="0.25">
      <c r="B80" t="s">
        <v>129</v>
      </c>
      <c r="C80" t="s">
        <v>86</v>
      </c>
    </row>
    <row r="81" spans="2:3" ht="14.45" customHeight="1" x14ac:dyDescent="0.25">
      <c r="B81" s="295"/>
      <c r="C81" t="s">
        <v>130</v>
      </c>
    </row>
    <row r="82" spans="2:3" ht="14.45" customHeight="1" x14ac:dyDescent="0.25">
      <c r="B82" t="s">
        <v>131</v>
      </c>
      <c r="C82" t="s">
        <v>92</v>
      </c>
    </row>
    <row r="83" spans="2:3" ht="14.45" customHeight="1" x14ac:dyDescent="0.25">
      <c r="B83" s="295"/>
      <c r="C83" t="s">
        <v>94</v>
      </c>
    </row>
  </sheetData>
  <mergeCells count="31">
    <mergeCell ref="B41:N41"/>
    <mergeCell ref="B43:N43"/>
    <mergeCell ref="D28:N28"/>
    <mergeCell ref="B30:N30"/>
    <mergeCell ref="D31:N31"/>
    <mergeCell ref="D32:N32"/>
    <mergeCell ref="D33:N33"/>
    <mergeCell ref="B35:N35"/>
    <mergeCell ref="D24:N24"/>
    <mergeCell ref="B26:N26"/>
    <mergeCell ref="D15:N15"/>
    <mergeCell ref="D16:N16"/>
    <mergeCell ref="D17:N17"/>
    <mergeCell ref="D18:N18"/>
    <mergeCell ref="D19:N19"/>
    <mergeCell ref="D27:N27"/>
    <mergeCell ref="D14:N14"/>
    <mergeCell ref="B1:N1"/>
    <mergeCell ref="B3:N3"/>
    <mergeCell ref="B4:N4"/>
    <mergeCell ref="D5:N5"/>
    <mergeCell ref="D6:N6"/>
    <mergeCell ref="D7:N7"/>
    <mergeCell ref="B9:N9"/>
    <mergeCell ref="D10:N10"/>
    <mergeCell ref="D11:N11"/>
    <mergeCell ref="D12:N12"/>
    <mergeCell ref="D13:N13"/>
    <mergeCell ref="D20:N20"/>
    <mergeCell ref="B22:N22"/>
    <mergeCell ref="D23:N23"/>
  </mergeCells>
  <conditionalFormatting sqref="B6:D6">
    <cfRule type="expression" dxfId="8" priority="1">
      <formula>$C$5="Min ZNZ Threshold"</formula>
    </cfRule>
  </conditionalFormatting>
  <conditionalFormatting sqref="B11:D11">
    <cfRule type="expression" dxfId="7" priority="2">
      <formula>$C$10&lt;&gt;"Enter fixed price"</formula>
    </cfRule>
  </conditionalFormatting>
  <conditionalFormatting sqref="B14:D14">
    <cfRule type="expression" dxfId="6" priority="3">
      <formula>$C$13&lt;&gt;"Enter fixed price"</formula>
    </cfRule>
  </conditionalFormatting>
  <conditionalFormatting sqref="B16:D16">
    <cfRule type="expression" dxfId="5" priority="4">
      <formula>$C$15&lt;&gt;"Enter fixed price"</formula>
    </cfRule>
  </conditionalFormatting>
  <conditionalFormatting sqref="B18:D18">
    <cfRule type="expression" dxfId="4" priority="5">
      <formula>$C$17&lt;&gt;"Enter fixed price"</formula>
    </cfRule>
  </conditionalFormatting>
  <conditionalFormatting sqref="B20:D20">
    <cfRule type="expression" dxfId="3" priority="6">
      <formula>$C$19&lt;&gt;"Enter fixed price"</formula>
    </cfRule>
  </conditionalFormatting>
  <dataValidations xWindow="783" yWindow="719" count="16">
    <dataValidation type="list" sqref="C31:C33" xr:uid="{1379FB7A-DF22-4D66-8AAF-9F181CADC942}">
      <formula1>$C$82:$C$83</formula1>
    </dataValidation>
    <dataValidation type="list" sqref="C24" xr:uid="{F8BD3414-019D-4999-94BC-3C52F0D0B304}">
      <formula1>$C$80:$C$81</formula1>
    </dataValidation>
    <dataValidation type="list" sqref="C23" xr:uid="{3310CE58-2899-4277-BD72-E6EAE1330A61}">
      <formula1>$C$78:$C$79</formula1>
    </dataValidation>
    <dataValidation type="list" sqref="C19" xr:uid="{614437DA-8F5C-41DC-9814-17A3D9BD5B2D}">
      <formula1>$C$74:$C$77</formula1>
    </dataValidation>
    <dataValidation type="list" sqref="C17" xr:uid="{7B95E042-AB81-4084-89F6-BC0DAAE2441A}">
      <formula1>$C$72:$C$73</formula1>
    </dataValidation>
    <dataValidation type="list" sqref="C15" xr:uid="{DB585F23-D1A4-4FA7-9DDC-F0181239088A}">
      <formula1>$C$70:$C$71</formula1>
    </dataValidation>
    <dataValidation type="list" sqref="C13" xr:uid="{A3E0F90F-F666-440F-A644-D2938D347A70}">
      <formula1>$C$68:$C$69</formula1>
    </dataValidation>
    <dataValidation type="list" sqref="C12" xr:uid="{D26108F3-31B0-4A19-9781-AE34C976B6A5}">
      <formula1>$C$64:$C$67</formula1>
    </dataValidation>
    <dataValidation type="list" sqref="C10" xr:uid="{1E6A0F45-9D00-49C3-B130-464695A07A9C}">
      <formula1>$C$62:$C$63</formula1>
    </dataValidation>
    <dataValidation type="list" sqref="C5" xr:uid="{600C4F89-B8CF-4DA3-AD59-A32F387F9621}">
      <formula1>$C$60:$C$61</formula1>
    </dataValidation>
    <dataValidation type="decimal" errorStyle="warning" allowBlank="1" showInputMessage="1" showErrorMessage="1" error="Unusual RU price. Check units (USD/tCO2eq)." promptTitle="Remedial Unit price" prompt="Per-proposal RU price (USD/tCO2eq). Defaults: Tier 2 = 380; Tier 1 = 100 (Enhanced 300). Market-defined GFS is computed; EU is n/a." sqref="C38:D40" xr:uid="{52B5EB9F-1D87-4516-8B23-4EC9A34ED365}">
      <formula1>0</formula1>
      <formula2>2000</formula2>
    </dataValidation>
    <dataValidation type="list" allowBlank="1" showInputMessage="1" showErrorMessage="1" promptTitle="ZNZ Reward scenario" prompt="Flat reward applied for the full model length. Applies only where the proposal has a Fund (As-Is, Enhanced)." sqref="C7" xr:uid="{CBC7D54E-EB8B-46A5-8F35-8B120B905DD5}">
      <formula1>"No Reward,Reward $100,Reward $175"</formula1>
    </dataValidation>
    <dataValidation type="whole" errorStyle="warning" allowBlank="1" showInputMessage="1" showErrorMessage="1" error="Outside the modelled window 2020 to 2040." promptTitle="Input guidance" prompt="Reference year (t=0) for the GFS trajectory. Default 2028 per the proposal timeline." sqref="C28" xr:uid="{E8794F33-C61F-4096-85FA-31E518302F5F}">
      <formula1>2020</formula1>
      <formula2>2040</formula2>
    </dataValidation>
    <dataValidation type="decimal" errorStyle="warning" allowBlank="1" showInputMessage="1" showErrorMessage="1" error="Unusual benchmark (USD/GJ). VLSFO is typically 10 to 25." promptTitle="Input guidance" prompt="Affordability reference price for Market-defined GFS (USD/GJ). The fuel-list VLSFO price follows this cell. Currently 14.4, from CIA assumption." sqref="C27" xr:uid="{4C04BA07-D10C-4602-BB1E-7EB430B5141F}">
      <formula1>1</formula1>
      <formula2>100</formula2>
    </dataValidation>
    <dataValidation type="decimal" errorStyle="warning" allowBlank="1" showInputMessage="1" showErrorMessage="1" error="Unusual price. Check units (USD per tonne)." promptTitle="Input guidance" prompt="Fixed price, USD per tonne. Active only when the source selector above is set to 'Enter fixed price'. Current inputs: VLSFO 600, LNG 600, bio-diesel 1800, bio-methane 1300, ZNZ 2000." sqref="C11 C14 C16 C18 C20" xr:uid="{376C8C54-2F09-4AB2-9928-A0AA7CC6C135}">
      <formula1>0</formula1>
      <formula2>20000</formula2>
    </dataValidation>
    <dataValidation type="decimal" errorStyle="warning" allowBlank="1" showInputMessage="1" showErrorMessage="1" error="Unusual ZNZ CI. Check units (gCO2eq/MJ); above 28.2 the EU x2 multiplier no longer applies." promptTitle="Input guidance" prompt="WtW carbon intensity of the ZNZ fuel (gCO2eq/MJ). Active only when the source above is 'Enter my own'. Values above 28.2 disqualify the EU RFNBO x2 multiplier (70% reduction vs 94). Default 19." sqref="C6" xr:uid="{E897941F-C4E7-4EFA-B99C-0A966250D932}">
      <formula1>0</formula1>
      <formula2>95</formula2>
    </dataValidation>
  </dataValidations>
  <hyperlinks>
    <hyperlink ref="B31:N31" r:id="rId1" display="Surplus-unit (SU) price determinants  (NZF Concepts Paper v2.1 §4.2)" xr:uid="{6650410F-7AE8-44E2-9B7F-76175E3708AF}"/>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063A9-F92F-42AA-8D10-2143AF07D704}">
  <sheetPr>
    <tabColor rgb="FF5E948A"/>
  </sheetPr>
  <dimension ref="B1:N66"/>
  <sheetViews>
    <sheetView showGridLines="0" topLeftCell="A35" zoomScale="90" zoomScaleNormal="90" workbookViewId="0">
      <selection activeCell="C19" sqref="C19:D19"/>
    </sheetView>
  </sheetViews>
  <sheetFormatPr defaultColWidth="8.7109375" defaultRowHeight="15" x14ac:dyDescent="0.25"/>
  <cols>
    <col min="1" max="1" width="2" style="16" customWidth="1"/>
    <col min="2" max="2" width="22" style="16" customWidth="1"/>
    <col min="3" max="14" width="8.42578125" style="16" customWidth="1"/>
    <col min="15" max="15" width="8.7109375" style="16"/>
    <col min="16" max="20" width="13" style="16" customWidth="1"/>
    <col min="21" max="16384" width="8.7109375" style="16"/>
  </cols>
  <sheetData>
    <row r="1" spans="2:14" ht="20.100000000000001" customHeight="1" x14ac:dyDescent="0.25">
      <c r="B1" s="323" t="s">
        <v>0</v>
      </c>
      <c r="C1" s="298"/>
      <c r="D1" s="298"/>
      <c r="E1" s="298"/>
      <c r="F1" s="298"/>
      <c r="G1" s="298"/>
      <c r="H1" s="298"/>
      <c r="I1" s="298"/>
      <c r="J1" s="298"/>
      <c r="K1" s="298"/>
      <c r="L1" s="298"/>
      <c r="M1" s="298"/>
      <c r="N1" s="298"/>
    </row>
    <row r="2" spans="2:14" ht="27.95" customHeight="1" x14ac:dyDescent="0.25">
      <c r="B2" s="324" t="s">
        <v>132</v>
      </c>
      <c r="C2" s="298"/>
      <c r="D2" s="298"/>
      <c r="E2" s="298"/>
      <c r="F2" s="298"/>
      <c r="G2" s="298"/>
      <c r="H2" s="298"/>
      <c r="I2" s="298"/>
      <c r="J2" s="298"/>
      <c r="K2" s="298"/>
      <c r="L2" s="298"/>
      <c r="M2" s="298"/>
      <c r="N2" s="298"/>
    </row>
    <row r="3" spans="2:14" x14ac:dyDescent="0.25">
      <c r="B3" s="325" t="s">
        <v>133</v>
      </c>
      <c r="C3" s="298"/>
      <c r="D3" s="298"/>
      <c r="E3" s="298"/>
      <c r="F3" s="298"/>
      <c r="G3" s="298"/>
      <c r="H3" s="298"/>
      <c r="I3" s="298"/>
      <c r="J3" s="298"/>
      <c r="K3" s="298"/>
      <c r="L3" s="298"/>
      <c r="M3" s="298"/>
      <c r="N3" s="298"/>
    </row>
    <row r="5" spans="2:14" ht="30" customHeight="1" x14ac:dyDescent="0.25">
      <c r="B5" s="326" t="s">
        <v>134</v>
      </c>
      <c r="C5" s="298"/>
      <c r="D5" s="298"/>
      <c r="E5" s="298"/>
      <c r="F5" s="298"/>
      <c r="G5" s="298"/>
      <c r="H5" s="298"/>
      <c r="I5" s="298"/>
      <c r="J5" s="298"/>
      <c r="K5" s="298"/>
      <c r="L5" s="298"/>
      <c r="M5" s="298"/>
      <c r="N5" s="298"/>
    </row>
    <row r="6" spans="2:14" ht="67.5" customHeight="1" x14ac:dyDescent="0.25">
      <c r="B6" s="327" t="s">
        <v>135</v>
      </c>
      <c r="C6" s="298"/>
      <c r="D6" s="298"/>
      <c r="E6" s="298"/>
      <c r="F6" s="298"/>
      <c r="G6" s="298"/>
      <c r="H6" s="298"/>
      <c r="I6" s="298"/>
      <c r="J6" s="298"/>
      <c r="K6" s="298"/>
      <c r="L6" s="298"/>
      <c r="M6" s="298"/>
      <c r="N6" s="298"/>
    </row>
    <row r="7" spans="2:14" x14ac:dyDescent="0.25">
      <c r="B7" s="322" t="s">
        <v>136</v>
      </c>
      <c r="C7" s="298"/>
      <c r="D7" s="298"/>
      <c r="E7" s="298"/>
      <c r="F7" s="298"/>
      <c r="G7" s="298"/>
      <c r="H7" s="298"/>
      <c r="I7" s="298"/>
      <c r="J7" s="298"/>
      <c r="K7" s="298"/>
      <c r="L7" s="298"/>
      <c r="M7" s="298"/>
      <c r="N7" s="298"/>
    </row>
    <row r="8" spans="2:14" ht="12.6" customHeight="1" x14ac:dyDescent="0.25">
      <c r="B8" s="295"/>
      <c r="C8" s="295"/>
      <c r="D8" s="295"/>
      <c r="E8" s="295"/>
      <c r="F8" s="295"/>
      <c r="G8" s="295"/>
      <c r="H8" s="295"/>
      <c r="I8" s="295"/>
      <c r="J8" s="295"/>
      <c r="K8" s="295"/>
      <c r="L8" s="295"/>
      <c r="M8" s="295"/>
      <c r="N8" s="295"/>
    </row>
    <row r="9" spans="2:14" ht="30" customHeight="1" x14ac:dyDescent="0.25">
      <c r="B9" s="330" t="s">
        <v>137</v>
      </c>
      <c r="C9" s="298"/>
      <c r="D9" s="298"/>
      <c r="E9" s="298"/>
      <c r="F9" s="298"/>
      <c r="G9" s="298"/>
      <c r="H9" s="298"/>
      <c r="I9" s="298"/>
      <c r="J9" s="298"/>
      <c r="K9" s="298"/>
      <c r="L9" s="298"/>
      <c r="M9" s="298"/>
      <c r="N9" s="298"/>
    </row>
    <row r="10" spans="2:14" x14ac:dyDescent="0.25">
      <c r="B10" s="331"/>
      <c r="C10" s="298"/>
      <c r="D10" s="298"/>
      <c r="E10" s="298"/>
      <c r="F10" s="298"/>
      <c r="G10" s="298"/>
      <c r="H10" s="298"/>
      <c r="I10" s="298"/>
      <c r="J10" s="298"/>
      <c r="K10" s="298"/>
      <c r="L10" s="298"/>
      <c r="M10" s="298"/>
      <c r="N10" s="298"/>
    </row>
    <row r="11" spans="2:14" ht="20.100000000000001" customHeight="1" x14ac:dyDescent="0.25">
      <c r="B11" s="295"/>
      <c r="C11" s="332" t="s">
        <v>138</v>
      </c>
      <c r="D11" s="298"/>
      <c r="E11" s="298"/>
      <c r="F11" s="298"/>
      <c r="G11" s="333" t="s">
        <v>139</v>
      </c>
      <c r="H11" s="298"/>
      <c r="I11" s="298"/>
      <c r="J11" s="298"/>
      <c r="K11" s="334" t="s">
        <v>140</v>
      </c>
      <c r="L11" s="298"/>
      <c r="M11" s="298"/>
      <c r="N11" s="298"/>
    </row>
    <row r="12" spans="2:14" x14ac:dyDescent="0.25">
      <c r="B12" s="30" t="s">
        <v>141</v>
      </c>
      <c r="C12" s="43" t="s">
        <v>142</v>
      </c>
      <c r="D12" s="43" t="s">
        <v>143</v>
      </c>
      <c r="E12" s="43" t="s">
        <v>144</v>
      </c>
      <c r="F12" s="43" t="s">
        <v>145</v>
      </c>
      <c r="G12" s="43" t="s">
        <v>142</v>
      </c>
      <c r="H12" s="43" t="s">
        <v>143</v>
      </c>
      <c r="I12" s="43" t="s">
        <v>144</v>
      </c>
      <c r="J12" s="43" t="s">
        <v>145</v>
      </c>
      <c r="K12" s="43" t="s">
        <v>142</v>
      </c>
      <c r="L12" s="43" t="s">
        <v>143</v>
      </c>
      <c r="M12" s="43" t="s">
        <v>144</v>
      </c>
      <c r="N12" s="43" t="s">
        <v>145</v>
      </c>
    </row>
    <row r="13" spans="2:14" ht="18" customHeight="1" x14ac:dyDescent="0.25">
      <c r="B13" s="31" t="str">
        <f>Proposals!B47</f>
        <v>NZF as-is</v>
      </c>
      <c r="C13" s="32">
        <f>Proposals!C47</f>
        <v>732.61886276990185</v>
      </c>
      <c r="D13" s="32">
        <f>Proposals!D47</f>
        <v>466.31395999999995</v>
      </c>
      <c r="E13" s="32">
        <f>Proposals!E47</f>
        <v>794.23794399999997</v>
      </c>
      <c r="F13" s="32">
        <f>Proposals!F47</f>
        <v>1339.3555820953538</v>
      </c>
      <c r="G13" s="32">
        <f>Proposals!G47</f>
        <v>942.6414227480916</v>
      </c>
      <c r="H13" s="32">
        <f>Proposals!H47</f>
        <v>691.86527954936162</v>
      </c>
      <c r="I13" s="32">
        <f>Proposals!I47</f>
        <v>1048.8837085223367</v>
      </c>
      <c r="J13" s="32">
        <f>Proposals!J47</f>
        <v>1208.353663394385</v>
      </c>
      <c r="K13" s="32">
        <f>Proposals!K47</f>
        <v>1365.9262128244275</v>
      </c>
      <c r="L13" s="32">
        <f>Proposals!L47</f>
        <v>1137.4705262751525</v>
      </c>
      <c r="M13" s="32">
        <f>Proposals!M47</f>
        <v>1389.2714542268041</v>
      </c>
      <c r="N13" s="32">
        <f>Proposals!N47</f>
        <v>1474.5529440000005</v>
      </c>
    </row>
    <row r="14" spans="2:14" x14ac:dyDescent="0.25">
      <c r="B14" s="31" t="str">
        <f>Proposals!B48</f>
        <v>NZF Softer Start</v>
      </c>
      <c r="C14" s="32">
        <f>Proposals!C48</f>
        <v>648.06431842966197</v>
      </c>
      <c r="D14" s="32">
        <f>Proposals!D48</f>
        <v>371.74407306434028</v>
      </c>
      <c r="E14" s="32">
        <f>Proposals!E48</f>
        <v>685.83827200000007</v>
      </c>
      <c r="F14" s="32">
        <f>Proposals!F48</f>
        <v>1258.576431842966</v>
      </c>
      <c r="G14" s="32">
        <f>Proposals!G48</f>
        <v>853.87822427480921</v>
      </c>
      <c r="H14" s="32">
        <f>Proposals!H48</f>
        <v>594.8279850488193</v>
      </c>
      <c r="I14" s="32">
        <f>Proposals!I48</f>
        <v>931.20795906725584</v>
      </c>
      <c r="J14" s="32">
        <f>Proposals!J48</f>
        <v>1124.0260305845272</v>
      </c>
      <c r="K14" s="32">
        <f>Proposals!K48</f>
        <v>1321.1987829443838</v>
      </c>
      <c r="L14" s="32">
        <f>Proposals!L48</f>
        <v>1090.3249336553044</v>
      </c>
      <c r="M14" s="32">
        <f>Proposals!M48</f>
        <v>1343.19884794109</v>
      </c>
      <c r="N14" s="32">
        <f>Proposals!N48</f>
        <v>1417.8775977600003</v>
      </c>
    </row>
    <row r="15" spans="2:14" x14ac:dyDescent="0.25">
      <c r="B15" s="31" t="str">
        <f>Proposals!B49</f>
        <v>NZF Enhanced Pricing</v>
      </c>
      <c r="C15" s="32">
        <f>Proposals!C49</f>
        <v>1743.5803427699018</v>
      </c>
      <c r="D15" s="32">
        <f>Proposals!D49</f>
        <v>1461.2404000000001</v>
      </c>
      <c r="E15" s="32">
        <f>Proposals!E49</f>
        <v>1805.1994239999999</v>
      </c>
      <c r="F15" s="32">
        <f>Proposals!F49</f>
        <v>2147.3440000000001</v>
      </c>
      <c r="G15" s="32">
        <f>Proposals!G49</f>
        <v>1699.9015427480915</v>
      </c>
      <c r="H15" s="32">
        <f>Proposals!H49</f>
        <v>1449.1253995493616</v>
      </c>
      <c r="I15" s="32">
        <f>Proposals!I49</f>
        <v>1806.1438285223367</v>
      </c>
      <c r="J15" s="32">
        <f>Proposals!J49</f>
        <v>1907.3540000000003</v>
      </c>
      <c r="K15" s="32">
        <f>Proposals!K49</f>
        <v>1719.5705328244276</v>
      </c>
      <c r="L15" s="32">
        <f>Proposals!L49</f>
        <v>1491.1148462751526</v>
      </c>
      <c r="M15" s="32">
        <f>Proposals!M49</f>
        <v>1742.9157742268039</v>
      </c>
      <c r="N15" s="32">
        <f>Proposals!N49</f>
        <v>1749.7640000000006</v>
      </c>
    </row>
    <row r="16" spans="2:14" x14ac:dyDescent="0.25">
      <c r="B16" s="31" t="str">
        <f>Proposals!B50</f>
        <v>Market-defined GFS</v>
      </c>
      <c r="C16" s="32">
        <f>Proposals!C50</f>
        <v>593.28</v>
      </c>
      <c r="D16" s="32">
        <f>Proposals!D50</f>
        <v>424.36</v>
      </c>
      <c r="E16" s="32">
        <f>Proposals!E50</f>
        <v>593.28</v>
      </c>
      <c r="F16" s="32">
        <f>Proposals!F50</f>
        <v>2218.62</v>
      </c>
      <c r="G16" s="32">
        <f>Proposals!G50</f>
        <v>566.5</v>
      </c>
      <c r="H16" s="32">
        <f>Proposals!H50</f>
        <v>422.3</v>
      </c>
      <c r="I16" s="32">
        <f>Proposals!I50</f>
        <v>566.5</v>
      </c>
      <c r="J16" s="32">
        <f>Proposals!J50</f>
        <v>2061.0300000000002</v>
      </c>
      <c r="K16" s="32">
        <f>Proposals!K50</f>
        <v>539.72</v>
      </c>
      <c r="L16" s="32">
        <f>Proposals!L50</f>
        <v>420.24</v>
      </c>
      <c r="M16" s="32">
        <f>Proposals!M50</f>
        <v>539.72</v>
      </c>
      <c r="N16" s="32">
        <f>Proposals!N50</f>
        <v>1903.4400000000003</v>
      </c>
    </row>
    <row r="17" spans="2:14" x14ac:dyDescent="0.25">
      <c r="B17" s="31"/>
      <c r="C17" s="33"/>
      <c r="D17" s="33"/>
      <c r="E17" s="33"/>
      <c r="F17" s="33"/>
      <c r="G17" s="33"/>
      <c r="H17" s="33"/>
      <c r="I17" s="33"/>
      <c r="J17" s="33"/>
      <c r="K17" s="33"/>
      <c r="L17" s="33"/>
      <c r="M17" s="33"/>
      <c r="N17" s="33"/>
    </row>
    <row r="18" spans="2:14" ht="15.75" thickBot="1" x14ac:dyDescent="0.3">
      <c r="B18" s="330" t="s">
        <v>146</v>
      </c>
      <c r="C18" s="298"/>
      <c r="D18" s="298"/>
      <c r="E18" s="298"/>
      <c r="F18" s="298"/>
      <c r="G18" s="298"/>
      <c r="H18" s="298"/>
      <c r="I18" s="298"/>
      <c r="J18" s="298"/>
      <c r="K18" s="298"/>
      <c r="L18" s="298"/>
      <c r="M18" s="298"/>
      <c r="N18" s="298"/>
    </row>
    <row r="19" spans="2:14" ht="17.25" thickTop="1" thickBot="1" x14ac:dyDescent="0.3">
      <c r="B19" s="34" t="s">
        <v>147</v>
      </c>
      <c r="C19" s="328">
        <v>2035</v>
      </c>
      <c r="D19" s="329"/>
      <c r="E19" s="295"/>
      <c r="F19" s="295"/>
      <c r="G19" s="295"/>
      <c r="H19" s="295"/>
      <c r="I19" s="295"/>
      <c r="J19" s="295"/>
      <c r="K19" s="295"/>
      <c r="L19" s="295"/>
      <c r="M19" s="295"/>
      <c r="N19" s="295"/>
    </row>
    <row r="20" spans="2:14" ht="23.45" customHeight="1" thickTop="1" thickBot="1" x14ac:dyDescent="0.3">
      <c r="B20" s="34" t="s">
        <v>148</v>
      </c>
      <c r="C20" s="328" t="s">
        <v>101</v>
      </c>
      <c r="D20" s="329"/>
      <c r="E20" s="295"/>
      <c r="F20" s="295"/>
      <c r="G20" s="295"/>
      <c r="H20" s="295"/>
      <c r="I20" s="295"/>
      <c r="J20" s="295"/>
      <c r="K20" s="295"/>
      <c r="L20" s="295"/>
      <c r="M20" s="295"/>
      <c r="N20" s="295"/>
    </row>
    <row r="21" spans="2:14" ht="22.5" customHeight="1" thickTop="1" x14ac:dyDescent="0.25">
      <c r="B21" s="295"/>
      <c r="C21" s="295"/>
      <c r="D21" s="295"/>
      <c r="E21" s="295"/>
      <c r="F21" s="295"/>
      <c r="G21" s="295"/>
      <c r="H21" s="295"/>
      <c r="I21" s="295"/>
      <c r="J21" s="295"/>
      <c r="K21" s="295"/>
      <c r="L21" s="295"/>
      <c r="M21" s="295"/>
      <c r="N21" s="295"/>
    </row>
    <row r="22" spans="2:14" ht="20.100000000000001" customHeight="1" x14ac:dyDescent="0.25">
      <c r="B22" s="295"/>
      <c r="C22" s="295"/>
      <c r="D22" s="295"/>
      <c r="E22" s="295"/>
      <c r="F22" s="295"/>
      <c r="G22" s="295"/>
      <c r="H22" s="295"/>
      <c r="I22" s="295"/>
      <c r="J22" s="295"/>
      <c r="K22" s="295"/>
      <c r="L22" s="295"/>
      <c r="M22" s="295"/>
      <c r="N22" s="295"/>
    </row>
    <row r="23" spans="2:14" ht="18" customHeight="1" x14ac:dyDescent="0.25">
      <c r="B23" s="295"/>
      <c r="C23" s="295"/>
      <c r="D23" s="295"/>
      <c r="E23" s="295"/>
      <c r="F23" s="295"/>
      <c r="G23" s="295"/>
      <c r="H23" s="295"/>
      <c r="I23" s="295"/>
      <c r="J23" s="295"/>
      <c r="K23" s="295"/>
      <c r="L23" s="295"/>
      <c r="M23" s="295"/>
      <c r="N23" s="295"/>
    </row>
    <row r="24" spans="2:14" ht="18" customHeight="1" x14ac:dyDescent="0.25">
      <c r="B24" s="295"/>
      <c r="C24" s="295"/>
      <c r="D24" s="295"/>
      <c r="E24" s="295"/>
      <c r="F24" s="295"/>
      <c r="G24" s="295"/>
      <c r="H24" s="295"/>
      <c r="I24" s="295"/>
      <c r="J24" s="295"/>
      <c r="K24" s="295"/>
      <c r="L24" s="295"/>
      <c r="M24" s="295"/>
      <c r="N24" s="295"/>
    </row>
    <row r="25" spans="2:14" ht="18" customHeight="1" x14ac:dyDescent="0.25">
      <c r="B25" s="295"/>
      <c r="C25" s="295"/>
      <c r="D25" s="295"/>
      <c r="E25" s="295"/>
      <c r="F25" s="295"/>
      <c r="G25" s="295"/>
      <c r="H25" s="295"/>
      <c r="I25" s="295"/>
      <c r="J25" s="295"/>
      <c r="K25" s="295"/>
      <c r="L25" s="295"/>
      <c r="M25" s="295"/>
      <c r="N25" s="295"/>
    </row>
    <row r="27" spans="2:14" ht="18" customHeight="1" x14ac:dyDescent="0.25">
      <c r="B27" s="295"/>
      <c r="C27" s="295"/>
      <c r="D27" s="295"/>
      <c r="E27" s="295"/>
      <c r="F27" s="295"/>
      <c r="G27" s="295"/>
      <c r="H27" s="295"/>
      <c r="I27" s="295"/>
      <c r="J27" s="295"/>
      <c r="K27" s="295"/>
      <c r="L27" s="295"/>
      <c r="M27" s="295"/>
      <c r="N27" s="295"/>
    </row>
    <row r="28" spans="2:14" ht="18" customHeight="1" x14ac:dyDescent="0.25">
      <c r="B28" s="295"/>
      <c r="C28" s="295"/>
      <c r="D28" s="295"/>
      <c r="E28" s="295"/>
      <c r="F28" s="295"/>
      <c r="G28" s="295"/>
      <c r="H28" s="295"/>
      <c r="I28" s="295"/>
      <c r="J28" s="295"/>
      <c r="K28" s="295"/>
      <c r="L28" s="295"/>
      <c r="M28" s="295"/>
      <c r="N28" s="295"/>
    </row>
    <row r="51" spans="2:14" x14ac:dyDescent="0.25">
      <c r="B51" s="293" t="s">
        <v>149</v>
      </c>
      <c r="C51" s="295"/>
      <c r="D51" s="295"/>
      <c r="E51" s="295"/>
      <c r="F51" s="295"/>
      <c r="G51" s="295"/>
      <c r="H51" s="295"/>
      <c r="I51" s="295"/>
      <c r="J51" s="295"/>
      <c r="K51" s="295"/>
      <c r="L51" s="295"/>
      <c r="M51" s="295"/>
      <c r="N51" s="295"/>
    </row>
    <row r="52" spans="2:14" x14ac:dyDescent="0.25">
      <c r="B52" s="284"/>
      <c r="C52" s="285">
        <v>2029</v>
      </c>
      <c r="D52" s="285">
        <v>2030</v>
      </c>
      <c r="E52" s="285">
        <v>2031</v>
      </c>
      <c r="F52" s="285">
        <v>2032</v>
      </c>
      <c r="G52" s="285">
        <v>2033</v>
      </c>
      <c r="H52" s="285">
        <v>2034</v>
      </c>
      <c r="I52" s="285">
        <v>2035</v>
      </c>
      <c r="J52" s="285">
        <v>2036</v>
      </c>
      <c r="K52" s="285">
        <v>2037</v>
      </c>
      <c r="L52" s="285">
        <v>2038</v>
      </c>
      <c r="M52" s="285">
        <v>2039</v>
      </c>
      <c r="N52" s="285">
        <v>2040</v>
      </c>
    </row>
    <row r="53" spans="2:14" x14ac:dyDescent="0.25">
      <c r="B53" s="286" t="str">
        <f>"Strategy 1: "&amp;IF(Input!$C$23="VLSFO only and always pay RU","VLSFO + RU (BAU)","VLSFO + bio-diesel (base case)")</f>
        <v>Strategy 1: VLSFO + bio-diesel (base case)</v>
      </c>
      <c r="C53" s="287">
        <f>Calculation!H63</f>
        <v>721.47255867269041</v>
      </c>
      <c r="D53" s="288">
        <f>Calculation!I63</f>
        <v>732.61886276990185</v>
      </c>
      <c r="E53" s="288">
        <f>Calculation!J63</f>
        <v>769.39675714285715</v>
      </c>
      <c r="F53" s="288">
        <f>Calculation!K63</f>
        <v>808.61852139585619</v>
      </c>
      <c r="G53" s="288">
        <f>Calculation!L63</f>
        <v>851.51743731733927</v>
      </c>
      <c r="H53" s="288">
        <f>Calculation!M63</f>
        <v>895.85749509269363</v>
      </c>
      <c r="I53" s="288">
        <f>Calculation!N63</f>
        <v>942.6414227480916</v>
      </c>
      <c r="J53" s="289">
        <f>Calculation!O63</f>
        <v>1018.8167632061071</v>
      </c>
      <c r="K53" s="288">
        <f>Calculation!P63</f>
        <v>1098.8800784732823</v>
      </c>
      <c r="L53" s="289">
        <f>Calculation!Q63</f>
        <v>1185.6261280916031</v>
      </c>
      <c r="M53" s="288">
        <f>Calculation!R63</f>
        <v>1273.8321830534351</v>
      </c>
      <c r="N53" s="288">
        <f>Calculation!S63</f>
        <v>1365.9262128244275</v>
      </c>
    </row>
    <row r="54" spans="2:14" x14ac:dyDescent="0.25">
      <c r="B54" s="286" t="str">
        <f>"Strategy 2: "&amp;IF(Input!$C$24="LNG only and always pay RU","LNG + RU (BAU)","LNG + bio-methane")</f>
        <v>Strategy 2: LNG + bio-methane</v>
      </c>
      <c r="C54" s="287">
        <f>Calculation!H80</f>
        <v>491.58604000000003</v>
      </c>
      <c r="D54" s="288">
        <f>Calculation!I80</f>
        <v>466.31395999999995</v>
      </c>
      <c r="E54" s="288">
        <f>Calculation!J80</f>
        <v>497.27342419872605</v>
      </c>
      <c r="F54" s="288">
        <f>Calculation!K80</f>
        <v>542.52789619567125</v>
      </c>
      <c r="G54" s="288">
        <f>Calculation!L80</f>
        <v>590.11499694193049</v>
      </c>
      <c r="H54" s="288">
        <f>Calculation!M80</f>
        <v>639.89412472649394</v>
      </c>
      <c r="I54" s="288">
        <f>Calculation!N80</f>
        <v>691.86527954936162</v>
      </c>
      <c r="J54" s="289">
        <f>Calculation!O80</f>
        <v>773.71104990079391</v>
      </c>
      <c r="K54" s="288">
        <f>Calculation!P80</f>
        <v>860.25401918809223</v>
      </c>
      <c r="L54" s="289">
        <f>Calculation!Q80</f>
        <v>950.28430421814744</v>
      </c>
      <c r="M54" s="288">
        <f>Calculation!R80</f>
        <v>1040.8908921672369</v>
      </c>
      <c r="N54" s="288">
        <f>Calculation!S80</f>
        <v>1137.4705262751525</v>
      </c>
    </row>
    <row r="55" spans="2:14" x14ac:dyDescent="0.25">
      <c r="B55" s="286" t="s">
        <v>150</v>
      </c>
      <c r="C55" s="287">
        <f>Calculation!H100</f>
        <v>773.85241942857147</v>
      </c>
      <c r="D55" s="288">
        <f>Calculation!I100</f>
        <v>794.23794399999997</v>
      </c>
      <c r="E55" s="288">
        <f>Calculation!J100</f>
        <v>853.15295520000006</v>
      </c>
      <c r="F55" s="288">
        <f>Calculation!K100</f>
        <v>912.06796640000016</v>
      </c>
      <c r="G55" s="288">
        <f>Calculation!L100</f>
        <v>970.98297760000014</v>
      </c>
      <c r="H55" s="288">
        <f>Calculation!M100</f>
        <v>1029.8979888000001</v>
      </c>
      <c r="I55" s="288">
        <f>Calculation!N100</f>
        <v>1048.8837085223367</v>
      </c>
      <c r="J55" s="289">
        <f>Calculation!O100</f>
        <v>1125.3492803436429</v>
      </c>
      <c r="K55" s="288">
        <f>Calculation!P100</f>
        <v>1197.6208408247423</v>
      </c>
      <c r="L55" s="289">
        <f>Calculation!Q100</f>
        <v>1265.6983899656354</v>
      </c>
      <c r="M55" s="288">
        <f>Calculation!R100</f>
        <v>1329.5819277663227</v>
      </c>
      <c r="N55" s="288">
        <f>Calculation!S100</f>
        <v>1389.2714542268041</v>
      </c>
    </row>
    <row r="56" spans="2:14" x14ac:dyDescent="0.25">
      <c r="B56" s="286" t="s">
        <v>151</v>
      </c>
      <c r="C56" s="287">
        <f>Calculation!H114</f>
        <v>1404.1159723135436</v>
      </c>
      <c r="D56" s="288">
        <f>Calculation!I114</f>
        <v>1339.3555820953538</v>
      </c>
      <c r="E56" s="288">
        <f>Calculation!J114</f>
        <v>1326.6431490042801</v>
      </c>
      <c r="F56" s="288">
        <f>Calculation!K114</f>
        <v>1316.2678985152036</v>
      </c>
      <c r="G56" s="288">
        <f>Calculation!L114</f>
        <v>1305.0803135690157</v>
      </c>
      <c r="H56" s="288">
        <f>Calculation!M114</f>
        <v>1299.4876694956488</v>
      </c>
      <c r="I56" s="288">
        <f>Calculation!N114</f>
        <v>1208.353663394385</v>
      </c>
      <c r="J56" s="289">
        <f>Calculation!O114</f>
        <v>1227.2703301540723</v>
      </c>
      <c r="K56" s="288">
        <f>Calculation!P114</f>
        <v>1262.3589360000001</v>
      </c>
      <c r="L56" s="289">
        <f>Calculation!Q114</f>
        <v>1333.0902719999999</v>
      </c>
      <c r="M56" s="288">
        <f>Calculation!R114</f>
        <v>1403.8216080000002</v>
      </c>
      <c r="N56" s="288">
        <f>Calculation!S114</f>
        <v>1474.5529440000005</v>
      </c>
    </row>
    <row r="57" spans="2:14" x14ac:dyDescent="0.25">
      <c r="B57" s="284"/>
      <c r="C57" s="284"/>
      <c r="D57" s="284"/>
      <c r="E57" s="284"/>
      <c r="F57" s="284"/>
      <c r="G57" s="284"/>
      <c r="H57" s="284"/>
      <c r="I57" s="284"/>
      <c r="J57" s="284"/>
      <c r="K57" s="284"/>
      <c r="L57" s="284"/>
      <c r="M57" s="284"/>
      <c r="N57" s="284"/>
    </row>
    <row r="58" spans="2:14" x14ac:dyDescent="0.25">
      <c r="B58" s="290" t="str">
        <f>$C$19&amp;" - "&amp;B53&amp;"  |  Total "&amp;ROUND(C62,0)&amp;" USD/tVLSFOeq"</f>
        <v>2035 - Strategy 1: VLSFO + bio-diesel (base case)  |  Total 943 USD/tVLSFOeq</v>
      </c>
      <c r="C58" s="290"/>
      <c r="D58" s="290"/>
      <c r="E58" s="290" t="str">
        <f>$C$19&amp;" - "&amp;B54&amp;"  |  Total "&amp;ROUND(F63,0)&amp;" USD/tVLSFOeq"</f>
        <v>2035 - Strategy 2: LNG + bio-methane  |  Total 692 USD/tVLSFOeq</v>
      </c>
      <c r="F58" s="290"/>
      <c r="G58" s="290"/>
      <c r="H58" s="290" t="str">
        <f>$C$19&amp;" - "&amp;B55&amp;"  |  Total "&amp;ROUND(I63,0)&amp;" USD/tVLSFOeq"</f>
        <v>2035 - Strategy 3: VLSFO + ZNZ  |  Total 1049 USD/tVLSFOeq</v>
      </c>
      <c r="I58" s="290"/>
      <c r="J58" s="290"/>
      <c r="K58" s="290" t="str">
        <f>$C$19&amp;" - "&amp;B56&amp;"  |  Total "&amp;ROUND(L65,0)&amp;" USD/tVLSFOeq"</f>
        <v>2035 - Strategy 4: 100% ZNZ  |  Total 1208 USD/tVLSFOeq</v>
      </c>
      <c r="L58" s="290"/>
      <c r="M58" s="284"/>
      <c r="N58" s="284"/>
    </row>
    <row r="59" spans="2:14" x14ac:dyDescent="0.25">
      <c r="B59" s="291" t="str">
        <f>"VLSFO fuel"</f>
        <v>VLSFO fuel</v>
      </c>
      <c r="C59" s="288">
        <f>INDEX(Calculation!$C$60:$S$60,MATCH($C$19,Calculation!$C$52:$S$52,0))</f>
        <v>566.5</v>
      </c>
      <c r="D59" s="284"/>
      <c r="E59" s="291" t="str">
        <f>"LNG fuel"</f>
        <v>LNG fuel</v>
      </c>
      <c r="F59" s="288">
        <f>INDEX(Calculation!$C$76:$S$76,MATCH($C$19,Calculation!$C$66:$S$66,0))+INDEX(Calculation!$C$79:$S$79,MATCH($C$19,Calculation!$C$66:$S$66,0))</f>
        <v>422.3</v>
      </c>
      <c r="G59" s="284"/>
      <c r="H59" s="291" t="str">
        <f>"VLSFO fuel"</f>
        <v>VLSFO fuel</v>
      </c>
      <c r="I59" s="288">
        <f>INDEX(Calculation!$C$96:$S$96,MATCH($C$19,Calculation!$C$83:$S$83,0))+INDEX(Calculation!$C$99:$S$99,MATCH($C$19,Calculation!$C$83:$S$83,0))</f>
        <v>445.52526116838487</v>
      </c>
      <c r="J59" s="284"/>
      <c r="K59" s="291" t="s">
        <v>152</v>
      </c>
      <c r="L59" s="288">
        <f>INDEX(Calculation!$C$103:$S$114,MATCH(K59,Calculation!$C$103:$C$114,0),MATCH($C$19,Calculation!$C$103:$S$103,0))</f>
        <v>2061.0300000000002</v>
      </c>
      <c r="M59" s="284"/>
      <c r="N59" s="284"/>
    </row>
    <row r="60" spans="2:14" x14ac:dyDescent="0.25">
      <c r="B60" s="291" t="str">
        <f>"Tier 2 (Bio-diesel or RU2)"</f>
        <v>Tier 2 (Bio-diesel or RU2)</v>
      </c>
      <c r="C60" s="288">
        <f>INDEX(Calculation!$C$61:$S$61,MATCH($C$19,Calculation!$C$52:$S$52,0))</f>
        <v>326.16994274809173</v>
      </c>
      <c r="D60" s="284"/>
      <c r="E60" s="291" t="str">
        <f>"Tier 2 (Bio-methane or RU2)"</f>
        <v>Tier 2 (Bio-methane or RU2)</v>
      </c>
      <c r="F60" s="288">
        <f>INDEX(Calculation!$C$77:$S$77,MATCH($C$19,Calculation!$C$66:$S$66,0))</f>
        <v>219.59379954936171</v>
      </c>
      <c r="G60" s="284"/>
      <c r="H60" s="291" t="str">
        <f>"Tier 2 (ZNZ or RU2)"</f>
        <v>Tier 2 (ZNZ or RU2)</v>
      </c>
      <c r="I60" s="288">
        <f>INDEX(Calculation!$C$97:$S$97,MATCH($C$19,Calculation!$C$83:$S$83,0))</f>
        <v>553.38696735395217</v>
      </c>
      <c r="J60" s="284"/>
      <c r="K60" s="291" t="str">
        <f>"ZNZ fuel (after rewards and surplus)"</f>
        <v>ZNZ fuel (after rewards and surplus)</v>
      </c>
      <c r="L60" s="288">
        <f>INDEX(Calculation!$C$109:$S$109,MATCH($C$19,Calculation!$C$103:$S$103,0))+INDEX(Calculation!$C$112:$S$112,MATCH($C$19,Calculation!$C$103:$S$103,0))+INDEX(Calculation!$C$113:$S$113,MATCH($C$19,Calculation!$C$103:$S$103,0))</f>
        <v>1208.353663394385</v>
      </c>
      <c r="M60" s="284"/>
      <c r="N60" s="284"/>
    </row>
    <row r="61" spans="2:14" x14ac:dyDescent="0.25">
      <c r="B61" s="291" t="str">
        <f>"Tier 1 (RU1)"</f>
        <v>Tier 1 (RU1)</v>
      </c>
      <c r="C61" s="288">
        <f>INDEX(Calculation!$C$62:$S$62,MATCH($C$19,Calculation!$C$52:$S$52,0))</f>
        <v>49.971479999999936</v>
      </c>
      <c r="D61" s="284"/>
      <c r="E61" s="291" t="str">
        <f>"Tier 1 (RU1)"</f>
        <v>Tier 1 (RU1)</v>
      </c>
      <c r="F61" s="288">
        <f>INDEX(Calculation!$C$78:$S$78,MATCH($C$19,Calculation!$C$66:$S$66,0))</f>
        <v>49.971479999999936</v>
      </c>
      <c r="G61" s="284"/>
      <c r="H61" s="291" t="str">
        <f>"Tier 1 (RU1)"</f>
        <v>Tier 1 (RU1)</v>
      </c>
      <c r="I61" s="288">
        <f>INDEX(Calculation!$C$98:$S$98,MATCH($C$19,Calculation!$C$83:$S$83,0))</f>
        <v>49.971479999999936</v>
      </c>
      <c r="J61" s="284"/>
      <c r="K61" s="291" t="str">
        <f>"Tier 2 RU2"</f>
        <v>Tier 2 RU2</v>
      </c>
      <c r="L61" s="288">
        <f>INDEX(Calculation!$C$110:$S$110,MATCH($C$19,Calculation!$C$103:$S$103,0))</f>
        <v>0</v>
      </c>
      <c r="M61" s="284"/>
      <c r="N61" s="284"/>
    </row>
    <row r="62" spans="2:14" x14ac:dyDescent="0.25">
      <c r="B62" s="291" t="s">
        <v>153</v>
      </c>
      <c r="C62" s="288">
        <f>INDEX(Calculation!$C$52:$S$63,MATCH(B62,Calculation!$C$52:$C$63,0),MATCH($C$19,Calculation!$C$52:$S$52,0))</f>
        <v>942.6414227480916</v>
      </c>
      <c r="D62" s="284"/>
      <c r="E62" s="291" t="str">
        <f>"GFI Surplus"</f>
        <v>GFI Surplus</v>
      </c>
      <c r="F62" s="288">
        <f>ABS(INDEX(Calculation!$C$79:$S$79,MATCH($C$19,Calculation!$C$66:$S$66,0)))</f>
        <v>0</v>
      </c>
      <c r="G62" s="284"/>
      <c r="H62" s="291" t="str">
        <f>"ZNZ Reward"</f>
        <v>ZNZ Reward</v>
      </c>
      <c r="I62" s="288">
        <f>ABS(INDEX(Calculation!$C$99:$S$99,MATCH($C$19,Calculation!$C$83:$S$83,0)))</f>
        <v>120.97473883161516</v>
      </c>
      <c r="J62" s="284"/>
      <c r="K62" s="291" t="str">
        <f>"Tier 1 RU1"</f>
        <v>Tier 1 RU1</v>
      </c>
      <c r="L62" s="288">
        <f>INDEX(Calculation!$C$111:$S$111,MATCH($C$19,Calculation!$C$103:$S$103,0))</f>
        <v>0</v>
      </c>
      <c r="M62" s="284"/>
      <c r="N62" s="284"/>
    </row>
    <row r="63" spans="2:14" x14ac:dyDescent="0.25">
      <c r="B63" s="292" t="str">
        <f>B62&amp;" = "&amp;ROUND(C62,0)&amp;" USD/tVLSFOeq"</f>
        <v>Total S1 = 943 USD/tVLSFOeq</v>
      </c>
      <c r="C63" s="284"/>
      <c r="D63" s="284"/>
      <c r="E63" s="291" t="s">
        <v>154</v>
      </c>
      <c r="F63" s="288">
        <f>INDEX(Calculation!$C$66:$S$80,MATCH(E63,Calculation!$C$66:$C$80,0),MATCH($C$19,Calculation!$C$66:$S$66,0))</f>
        <v>691.86527954936162</v>
      </c>
      <c r="G63" s="284"/>
      <c r="H63" s="291" t="s">
        <v>155</v>
      </c>
      <c r="I63" s="288">
        <f>INDEX(Calculation!$C$83:$S$100,MATCH(H63,Calculation!$C$83:$C$100,0),MATCH($C$19,Calculation!$C$83:$S$83,0))</f>
        <v>1048.8837085223367</v>
      </c>
      <c r="J63" s="284"/>
      <c r="K63" s="291" t="str">
        <f>"GFI Surplus"</f>
        <v>GFI Surplus</v>
      </c>
      <c r="L63" s="288">
        <f>ABS(INDEX(Calculation!$C$112:$S$112,MATCH($C$19,Calculation!$C$103:$S$103,0)))</f>
        <v>525.96033660561534</v>
      </c>
      <c r="M63" s="284"/>
      <c r="N63" s="284"/>
    </row>
    <row r="64" spans="2:14" x14ac:dyDescent="0.25">
      <c r="B64" s="284"/>
      <c r="C64" s="284"/>
      <c r="D64" s="284"/>
      <c r="E64" s="292" t="str">
        <f>E63&amp;" = "&amp;ROUND(F63,0)&amp;" USD/tVLSFOeq"</f>
        <v>Total S2 = 692 USD/tVLSFOeq</v>
      </c>
      <c r="F64" s="284"/>
      <c r="G64" s="284"/>
      <c r="H64" s="292" t="str">
        <f>H63&amp;" = "&amp;ROUND(I63,0)&amp;" USD/tVLSFOeq"</f>
        <v>Total S3 = 1049 USD/tVLSFOeq</v>
      </c>
      <c r="I64" s="284"/>
      <c r="J64" s="284"/>
      <c r="K64" s="291" t="str">
        <f>"ZNZ Reward"</f>
        <v>ZNZ Reward</v>
      </c>
      <c r="L64" s="288">
        <f>ABS(INDEX(Calculation!$C$113:$S$113,MATCH($C$19,Calculation!$C$103:$S$103,0)))</f>
        <v>326.71600000000001</v>
      </c>
      <c r="M64" s="284"/>
      <c r="N64" s="284"/>
    </row>
    <row r="65" spans="2:14" x14ac:dyDescent="0.25">
      <c r="B65" s="284"/>
      <c r="C65" s="284"/>
      <c r="D65" s="284"/>
      <c r="E65" s="284"/>
      <c r="F65" s="284"/>
      <c r="G65" s="284"/>
      <c r="H65" s="284"/>
      <c r="I65" s="284"/>
      <c r="J65" s="284"/>
      <c r="K65" s="291" t="s">
        <v>156</v>
      </c>
      <c r="L65" s="288">
        <f>INDEX(Calculation!$C$103:$S$114,MATCH(K65,Calculation!$C$103:$C$114,0),MATCH($C$19,Calculation!$C$103:$S$103,0))</f>
        <v>1208.353663394385</v>
      </c>
      <c r="M65" s="284"/>
      <c r="N65" s="284"/>
    </row>
    <row r="66" spans="2:14" x14ac:dyDescent="0.25">
      <c r="B66" s="284"/>
      <c r="C66" s="284"/>
      <c r="D66" s="284"/>
      <c r="E66" s="284"/>
      <c r="F66" s="284"/>
      <c r="G66" s="284"/>
      <c r="H66" s="284"/>
      <c r="I66" s="284"/>
      <c r="J66" s="284"/>
      <c r="K66" s="292" t="str">
        <f>K65&amp;" = "&amp;ROUND(L65,0)&amp;" USD/tVLSFOeq"</f>
        <v>Total S4 = 1208 USD/tVLSFOeq</v>
      </c>
      <c r="L66" s="284"/>
      <c r="M66" s="284"/>
      <c r="N66" s="284"/>
    </row>
  </sheetData>
  <mergeCells count="14">
    <mergeCell ref="C19:D19"/>
    <mergeCell ref="C20:D20"/>
    <mergeCell ref="B9:N9"/>
    <mergeCell ref="B10:N10"/>
    <mergeCell ref="C11:F11"/>
    <mergeCell ref="G11:J11"/>
    <mergeCell ref="K11:N11"/>
    <mergeCell ref="B18:N18"/>
    <mergeCell ref="B7:N7"/>
    <mergeCell ref="B1:N1"/>
    <mergeCell ref="B2:N2"/>
    <mergeCell ref="B3:N3"/>
    <mergeCell ref="B5:N5"/>
    <mergeCell ref="B6:N6"/>
  </mergeCells>
  <conditionalFormatting sqref="C13:F16">
    <cfRule type="expression" dxfId="2" priority="3">
      <formula>C13=MIN($C13:$F13)</formula>
    </cfRule>
  </conditionalFormatting>
  <conditionalFormatting sqref="G13:J16">
    <cfRule type="expression" dxfId="1" priority="2">
      <formula>G13=MIN($G13:$J13)</formula>
    </cfRule>
  </conditionalFormatting>
  <conditionalFormatting sqref="K13:N16">
    <cfRule type="expression" dxfId="0" priority="1">
      <formula>K13=MIN($K13:$N13)</formula>
    </cfRule>
  </conditionalFormatting>
  <dataValidations count="2">
    <dataValidation type="list" allowBlank="1" showInputMessage="1" showErrorMessage="1" sqref="C20" xr:uid="{2E9AB11C-96E0-4DA3-A0CF-F66FE00BA499}">
      <formula1>"NZF as-is,NZF Softer Start,NZF Enhanced Pricing,Market-defined GFS"</formula1>
    </dataValidation>
    <dataValidation type="list" allowBlank="1" showInputMessage="1" showErrorMessage="1" sqref="C19" xr:uid="{DE965596-3931-430E-B56B-71E5F27FE5B5}">
      <formula1>"2029,2030,2031,2032,2033,2034,2035,2036,2037,2038,2039,2040"</formula1>
    </dataValidation>
  </dataValidations>
  <pageMargins left="0.75" right="0.75" top="1" bottom="1" header="0.5" footer="0.5"/>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3F93A-B1C7-49DA-B5F4-18DB02695054}">
  <sheetPr>
    <tabColor rgb="FFBFBFBF"/>
  </sheetPr>
  <dimension ref="A1:AA142"/>
  <sheetViews>
    <sheetView showGridLines="0" zoomScale="90" zoomScaleNormal="90" workbookViewId="0">
      <selection activeCell="B25" sqref="B25"/>
    </sheetView>
  </sheetViews>
  <sheetFormatPr defaultColWidth="8.85546875" defaultRowHeight="15" x14ac:dyDescent="0.25"/>
  <cols>
    <col min="1" max="1" width="4.7109375" style="1" customWidth="1"/>
    <col min="2" max="2" width="31.85546875" style="1" customWidth="1"/>
    <col min="3" max="3" width="36.5703125" style="3" customWidth="1"/>
    <col min="4" max="4" width="21.5703125" style="1" customWidth="1"/>
    <col min="5" max="5" width="14.85546875" style="1" customWidth="1"/>
    <col min="6" max="6" width="14.140625" style="1" customWidth="1"/>
    <col min="7" max="9" width="14.85546875" style="1" customWidth="1"/>
    <col min="10" max="10" width="14.140625" style="1" customWidth="1"/>
    <col min="11" max="18" width="14.85546875" style="1" customWidth="1"/>
    <col min="19" max="27" width="11.42578125" style="1" customWidth="1"/>
    <col min="28" max="32" width="8.85546875" style="1" customWidth="1"/>
    <col min="33" max="16384" width="8.85546875" style="1"/>
  </cols>
  <sheetData>
    <row r="1" spans="1:27" ht="15" customHeight="1" x14ac:dyDescent="0.2">
      <c r="B1" s="60" t="s">
        <v>157</v>
      </c>
      <c r="C1" s="44"/>
      <c r="D1" s="44"/>
      <c r="E1" s="44"/>
      <c r="F1" s="44"/>
      <c r="G1" s="44"/>
      <c r="H1" s="44"/>
      <c r="I1" s="44"/>
      <c r="J1" s="44"/>
      <c r="K1" s="44"/>
      <c r="L1" s="44"/>
    </row>
    <row r="2" spans="1:27" ht="46.5" customHeight="1" x14ac:dyDescent="0.25">
      <c r="B2" s="343" t="s">
        <v>158</v>
      </c>
      <c r="C2" s="344"/>
      <c r="D2" s="345"/>
      <c r="E2" s="345"/>
      <c r="F2" s="345"/>
      <c r="G2" s="345"/>
      <c r="H2" s="345"/>
      <c r="I2" s="345"/>
      <c r="J2" s="345"/>
      <c r="K2" s="345"/>
    </row>
    <row r="3" spans="1:27" ht="43.5" customHeight="1" x14ac:dyDescent="0.25">
      <c r="B3" s="114"/>
      <c r="C3" s="115" t="s">
        <v>159</v>
      </c>
      <c r="D3" s="116" t="s">
        <v>160</v>
      </c>
      <c r="E3" s="117" t="s">
        <v>161</v>
      </c>
      <c r="F3" s="117" t="s">
        <v>162</v>
      </c>
      <c r="G3" s="117" t="s">
        <v>118</v>
      </c>
      <c r="H3" s="118" t="s">
        <v>119</v>
      </c>
      <c r="I3" s="118" t="s">
        <v>120</v>
      </c>
      <c r="J3" s="118" t="s">
        <v>72</v>
      </c>
      <c r="K3" s="118" t="s">
        <v>163</v>
      </c>
      <c r="L3" s="4" t="s">
        <v>164</v>
      </c>
    </row>
    <row r="4" spans="1:27" ht="33.75" customHeight="1" x14ac:dyDescent="0.2">
      <c r="B4" s="119" t="s">
        <v>165</v>
      </c>
      <c r="C4" s="120"/>
      <c r="D4" s="121"/>
      <c r="E4" s="270" t="s">
        <v>166</v>
      </c>
      <c r="F4" s="123" t="s">
        <v>167</v>
      </c>
      <c r="G4" s="122"/>
      <c r="H4" s="124"/>
      <c r="I4" s="124"/>
      <c r="J4" s="124"/>
      <c r="K4" s="125" t="s">
        <v>168</v>
      </c>
      <c r="L4" s="5"/>
    </row>
    <row r="5" spans="1:27" ht="14.25" customHeight="1" x14ac:dyDescent="0.25">
      <c r="B5" s="66" t="s">
        <v>169</v>
      </c>
      <c r="C5" s="67" t="s">
        <v>170</v>
      </c>
      <c r="D5" s="68">
        <v>93.3</v>
      </c>
      <c r="E5" s="69">
        <v>95.48</v>
      </c>
      <c r="F5" s="69">
        <v>22.12</v>
      </c>
      <c r="G5" s="69">
        <v>77.19</v>
      </c>
      <c r="H5" s="69">
        <v>91.69</v>
      </c>
      <c r="I5" s="69">
        <v>76.09</v>
      </c>
      <c r="J5" s="69">
        <f>AVERAGE(H5:I5)</f>
        <v>83.89</v>
      </c>
      <c r="K5" s="69">
        <v>20.619759999999999</v>
      </c>
      <c r="L5" s="282" t="s">
        <v>171</v>
      </c>
    </row>
    <row r="6" spans="1:27" ht="14.25" customHeight="1" x14ac:dyDescent="0.25">
      <c r="B6" s="70" t="s">
        <v>172</v>
      </c>
      <c r="C6" s="70" t="s">
        <v>173</v>
      </c>
      <c r="D6" s="70"/>
      <c r="E6" s="71">
        <v>4.1200000000000001E-2</v>
      </c>
      <c r="F6" s="71">
        <v>3.7100000000000001E-2</v>
      </c>
      <c r="G6" s="71">
        <v>4.8000000000000001E-2</v>
      </c>
      <c r="H6" s="71">
        <v>4.8000000000000001E-2</v>
      </c>
      <c r="I6" s="71">
        <v>4.8000000000000001E-2</v>
      </c>
      <c r="J6" s="71">
        <v>4.8000000000000001E-2</v>
      </c>
      <c r="K6" s="71">
        <v>0.05</v>
      </c>
      <c r="L6" s="283" t="s">
        <v>174</v>
      </c>
    </row>
    <row r="7" spans="1:27" ht="62.25" customHeight="1" x14ac:dyDescent="0.25">
      <c r="B7" s="72" t="s">
        <v>175</v>
      </c>
      <c r="C7" s="73"/>
      <c r="D7" s="74" t="s">
        <v>176</v>
      </c>
      <c r="E7" s="75" t="s">
        <v>177</v>
      </c>
      <c r="F7" s="346" t="s">
        <v>178</v>
      </c>
      <c r="G7" s="347"/>
      <c r="H7" s="348" t="s">
        <v>179</v>
      </c>
      <c r="I7" s="348"/>
      <c r="J7" s="348"/>
      <c r="K7" s="40" t="s">
        <v>178</v>
      </c>
    </row>
    <row r="8" spans="1:27" x14ac:dyDescent="0.25">
      <c r="B8" s="271"/>
      <c r="C8" s="272"/>
      <c r="D8" s="273"/>
      <c r="E8" s="274"/>
      <c r="F8" s="54"/>
      <c r="G8" s="55"/>
      <c r="H8" s="56"/>
      <c r="I8" s="55"/>
      <c r="J8" s="55"/>
      <c r="K8" s="57"/>
    </row>
    <row r="9" spans="1:27" ht="14.25" customHeight="1" x14ac:dyDescent="0.2">
      <c r="B9" s="44" t="s">
        <v>180</v>
      </c>
      <c r="C9" s="44"/>
      <c r="D9" s="44"/>
      <c r="E9" s="44"/>
      <c r="F9" s="44"/>
      <c r="G9" s="44"/>
      <c r="H9" s="44"/>
      <c r="I9" s="44"/>
      <c r="J9" s="44"/>
      <c r="K9" s="44"/>
      <c r="L9" s="44"/>
      <c r="M9" s="44"/>
      <c r="N9" s="44"/>
      <c r="O9" s="44"/>
      <c r="P9" s="44"/>
      <c r="Q9" s="44"/>
      <c r="R9" s="44"/>
      <c r="S9" s="44"/>
      <c r="T9" s="44"/>
      <c r="U9" s="44"/>
      <c r="V9" s="44"/>
      <c r="W9" s="44"/>
      <c r="X9" s="44"/>
      <c r="Y9" s="44"/>
      <c r="Z9" s="44"/>
    </row>
    <row r="10" spans="1:27" ht="43.5" customHeight="1" x14ac:dyDescent="0.25">
      <c r="B10" s="343" t="s">
        <v>181</v>
      </c>
      <c r="C10" s="344"/>
      <c r="D10" s="345"/>
      <c r="E10" s="345"/>
      <c r="F10" s="345"/>
      <c r="G10" s="345"/>
      <c r="H10" s="345"/>
      <c r="I10" s="345"/>
      <c r="J10" s="345"/>
      <c r="K10" s="345"/>
      <c r="L10" s="2"/>
    </row>
    <row r="11" spans="1:27" ht="14.25" customHeight="1" x14ac:dyDescent="0.25">
      <c r="B11" s="76" t="s">
        <v>182</v>
      </c>
      <c r="C11" s="65" t="s">
        <v>175</v>
      </c>
      <c r="D11" s="65" t="s">
        <v>183</v>
      </c>
      <c r="E11" s="64">
        <v>2029</v>
      </c>
      <c r="F11" s="64">
        <v>2030</v>
      </c>
      <c r="G11" s="64">
        <v>2031</v>
      </c>
      <c r="H11" s="64">
        <v>2032</v>
      </c>
      <c r="I11" s="64">
        <v>2033</v>
      </c>
      <c r="J11" s="64">
        <v>2034</v>
      </c>
      <c r="K11" s="64">
        <v>2035</v>
      </c>
      <c r="L11" s="64">
        <v>2036</v>
      </c>
      <c r="M11" s="64">
        <v>2037</v>
      </c>
      <c r="N11" s="64">
        <v>2038</v>
      </c>
      <c r="O11" s="64">
        <v>2039</v>
      </c>
      <c r="P11" s="64">
        <v>2040</v>
      </c>
      <c r="Q11" s="64">
        <v>2041</v>
      </c>
      <c r="R11" s="64">
        <v>2042</v>
      </c>
      <c r="S11" s="64">
        <v>2043</v>
      </c>
      <c r="T11" s="64">
        <v>2044</v>
      </c>
      <c r="U11" s="64">
        <v>2045</v>
      </c>
      <c r="V11" s="64">
        <v>2046</v>
      </c>
      <c r="W11" s="64">
        <v>2047</v>
      </c>
      <c r="X11" s="64">
        <v>2048</v>
      </c>
      <c r="Y11" s="64">
        <v>2049</v>
      </c>
      <c r="Z11" s="64">
        <v>2050</v>
      </c>
    </row>
    <row r="12" spans="1:27" ht="14.25" customHeight="1" x14ac:dyDescent="0.25">
      <c r="A12" s="6"/>
      <c r="B12" s="95" t="s">
        <v>184</v>
      </c>
      <c r="C12" s="96" t="s">
        <v>185</v>
      </c>
      <c r="D12" s="97" t="s">
        <v>186</v>
      </c>
      <c r="E12" s="98">
        <f>Proposals!H17</f>
        <v>0.06</v>
      </c>
      <c r="F12" s="98">
        <f>Proposals!H18</f>
        <v>0.08</v>
      </c>
      <c r="G12" s="98">
        <f>Proposals!H19</f>
        <v>0.124</v>
      </c>
      <c r="H12" s="98">
        <f>Proposals!H20</f>
        <v>0.16800000000000001</v>
      </c>
      <c r="I12" s="98">
        <f>Proposals!H21</f>
        <v>0.21199999999999999</v>
      </c>
      <c r="J12" s="98">
        <f>Proposals!H22</f>
        <v>0.25600000000000001</v>
      </c>
      <c r="K12" s="98">
        <f>Proposals!H23</f>
        <v>0.3</v>
      </c>
      <c r="L12" s="98">
        <f>Proposals!H24</f>
        <v>0.37</v>
      </c>
      <c r="M12" s="98">
        <f>Proposals!H25</f>
        <v>0.44</v>
      </c>
      <c r="N12" s="98">
        <f>Proposals!H26</f>
        <v>0.51</v>
      </c>
      <c r="O12" s="98">
        <f>Proposals!H27</f>
        <v>0.57999999999999996</v>
      </c>
      <c r="P12" s="98">
        <f>Proposals!H28</f>
        <v>0.65</v>
      </c>
      <c r="Q12" s="99">
        <v>0.68</v>
      </c>
      <c r="R12" s="99">
        <v>0.71000000000000096</v>
      </c>
      <c r="S12" s="99">
        <v>0.74000000000000199</v>
      </c>
      <c r="T12" s="99">
        <v>0.77000000000000302</v>
      </c>
      <c r="U12" s="99">
        <v>0.79999999999999705</v>
      </c>
      <c r="V12" s="99">
        <v>0.82999999999999796</v>
      </c>
      <c r="W12" s="99">
        <v>0.85999999999999899</v>
      </c>
      <c r="X12" s="99">
        <v>0.89000000000000101</v>
      </c>
      <c r="Y12" s="99">
        <v>0.92000000000000204</v>
      </c>
      <c r="Z12" s="99">
        <v>0.95000000000000295</v>
      </c>
      <c r="AA12" s="77"/>
    </row>
    <row r="13" spans="1:27" ht="14.25" customHeight="1" x14ac:dyDescent="0.25">
      <c r="B13" s="67" t="s">
        <v>187</v>
      </c>
      <c r="C13" s="67" t="s">
        <v>185</v>
      </c>
      <c r="D13" s="100" t="s">
        <v>186</v>
      </c>
      <c r="E13" s="101">
        <f>Proposals!H30</f>
        <v>0.19</v>
      </c>
      <c r="F13" s="101">
        <f>Proposals!H31</f>
        <v>0.21</v>
      </c>
      <c r="G13" s="101">
        <f>Proposals!H32</f>
        <v>0.254</v>
      </c>
      <c r="H13" s="101">
        <f>Proposals!H33</f>
        <v>0.29799999999999999</v>
      </c>
      <c r="I13" s="101">
        <f>Proposals!H34</f>
        <v>0.34200000000000003</v>
      </c>
      <c r="J13" s="101">
        <f>Proposals!H35</f>
        <v>0.38600000000000001</v>
      </c>
      <c r="K13" s="101">
        <f>Proposals!H36</f>
        <v>0.43</v>
      </c>
      <c r="L13" s="101">
        <f>Proposals!H37</f>
        <v>0.5</v>
      </c>
      <c r="M13" s="101">
        <f>Proposals!H38</f>
        <v>0.56999999999999995</v>
      </c>
      <c r="N13" s="101">
        <f>Proposals!H39</f>
        <v>0.64</v>
      </c>
      <c r="O13" s="101">
        <f>Proposals!H40</f>
        <v>0.71</v>
      </c>
      <c r="P13" s="101">
        <f>Proposals!H41</f>
        <v>0.78</v>
      </c>
      <c r="Q13" s="102">
        <v>0.81</v>
      </c>
      <c r="R13" s="102">
        <v>0.84000000000000097</v>
      </c>
      <c r="S13" s="102">
        <v>0.87000000000000199</v>
      </c>
      <c r="T13" s="102">
        <v>0.90000000000000302</v>
      </c>
      <c r="U13" s="102">
        <v>0.92999999999999705</v>
      </c>
      <c r="V13" s="102">
        <v>0.95999999999999797</v>
      </c>
      <c r="W13" s="102">
        <v>0.98999999999999899</v>
      </c>
      <c r="X13" s="102">
        <v>1</v>
      </c>
      <c r="Y13" s="102">
        <v>1</v>
      </c>
      <c r="Z13" s="102">
        <v>1</v>
      </c>
      <c r="AA13" s="78"/>
    </row>
    <row r="14" spans="1:27" ht="14.25" customHeight="1" x14ac:dyDescent="0.25">
      <c r="B14" s="103" t="s">
        <v>188</v>
      </c>
      <c r="C14" s="104" t="s">
        <v>185</v>
      </c>
      <c r="D14" s="67" t="s">
        <v>189</v>
      </c>
      <c r="E14" s="102">
        <f>Proposals!H14</f>
        <v>380</v>
      </c>
      <c r="F14" s="102">
        <f>Proposals!H14</f>
        <v>380</v>
      </c>
      <c r="G14" s="102">
        <f>Proposals!H14</f>
        <v>380</v>
      </c>
      <c r="H14" s="102">
        <f>Proposals!H14</f>
        <v>380</v>
      </c>
      <c r="I14" s="102">
        <f>Proposals!H14</f>
        <v>380</v>
      </c>
      <c r="J14" s="102">
        <f>Proposals!H14</f>
        <v>380</v>
      </c>
      <c r="K14" s="102">
        <f>Proposals!H14</f>
        <v>380</v>
      </c>
      <c r="L14" s="102">
        <f>Proposals!H14</f>
        <v>380</v>
      </c>
      <c r="M14" s="102">
        <f>Proposals!H14</f>
        <v>380</v>
      </c>
      <c r="N14" s="102">
        <f>Proposals!H14</f>
        <v>380</v>
      </c>
      <c r="O14" s="102">
        <f>Proposals!H14</f>
        <v>380</v>
      </c>
      <c r="P14" s="102">
        <f>Proposals!H14</f>
        <v>380</v>
      </c>
      <c r="Q14" s="102">
        <f>Proposals!H14</f>
        <v>380</v>
      </c>
      <c r="R14" s="102">
        <f>Proposals!H14</f>
        <v>380</v>
      </c>
      <c r="S14" s="102">
        <f>Proposals!H14</f>
        <v>380</v>
      </c>
      <c r="T14" s="102">
        <f>Proposals!H14</f>
        <v>380</v>
      </c>
      <c r="U14" s="102">
        <f>Proposals!H14</f>
        <v>380</v>
      </c>
      <c r="V14" s="102">
        <f>Proposals!H14</f>
        <v>380</v>
      </c>
      <c r="W14" s="102">
        <f>Proposals!H14</f>
        <v>380</v>
      </c>
      <c r="X14" s="102">
        <f>Proposals!H14</f>
        <v>380</v>
      </c>
      <c r="Y14" s="102">
        <f>Proposals!H14</f>
        <v>380</v>
      </c>
      <c r="Z14" s="102">
        <f>Proposals!H14</f>
        <v>380</v>
      </c>
      <c r="AA14" s="79" t="s">
        <v>190</v>
      </c>
    </row>
    <row r="15" spans="1:27" ht="14.25" customHeight="1" x14ac:dyDescent="0.25">
      <c r="B15" s="103" t="s">
        <v>191</v>
      </c>
      <c r="C15" s="104" t="s">
        <v>185</v>
      </c>
      <c r="D15" s="100" t="s">
        <v>189</v>
      </c>
      <c r="E15" s="101">
        <f>Proposals!H15</f>
        <v>100</v>
      </c>
      <c r="F15" s="101">
        <f>Proposals!H15</f>
        <v>100</v>
      </c>
      <c r="G15" s="101">
        <f>Proposals!H15</f>
        <v>100</v>
      </c>
      <c r="H15" s="101">
        <f>Proposals!H15</f>
        <v>100</v>
      </c>
      <c r="I15" s="101">
        <f>Proposals!H15</f>
        <v>100</v>
      </c>
      <c r="J15" s="101">
        <f>Proposals!H15</f>
        <v>100</v>
      </c>
      <c r="K15" s="101">
        <f>Proposals!H15</f>
        <v>100</v>
      </c>
      <c r="L15" s="101">
        <f>Proposals!H15</f>
        <v>100</v>
      </c>
      <c r="M15" s="101">
        <f>Proposals!H15</f>
        <v>100</v>
      </c>
      <c r="N15" s="101">
        <f>Proposals!H15</f>
        <v>100</v>
      </c>
      <c r="O15" s="101">
        <f>Proposals!H15</f>
        <v>100</v>
      </c>
      <c r="P15" s="101">
        <f>Proposals!H15</f>
        <v>100</v>
      </c>
      <c r="Q15" s="102">
        <v>100</v>
      </c>
      <c r="R15" s="102">
        <v>100</v>
      </c>
      <c r="S15" s="102">
        <v>100</v>
      </c>
      <c r="T15" s="102">
        <v>100</v>
      </c>
      <c r="U15" s="102">
        <v>100</v>
      </c>
      <c r="V15" s="102">
        <v>100</v>
      </c>
      <c r="W15" s="102">
        <v>100</v>
      </c>
      <c r="X15" s="102">
        <v>100</v>
      </c>
      <c r="Y15" s="102">
        <v>100</v>
      </c>
      <c r="Z15" s="102">
        <v>100</v>
      </c>
      <c r="AA15" s="78"/>
    </row>
    <row r="16" spans="1:27" ht="14.25" customHeight="1" x14ac:dyDescent="0.25">
      <c r="B16" s="103" t="s">
        <v>192</v>
      </c>
      <c r="C16" s="104" t="s">
        <v>193</v>
      </c>
      <c r="D16" s="67" t="s">
        <v>194</v>
      </c>
      <c r="E16" s="102">
        <v>19</v>
      </c>
      <c r="F16" s="102">
        <v>19</v>
      </c>
      <c r="G16" s="102">
        <v>19</v>
      </c>
      <c r="H16" s="102">
        <v>19</v>
      </c>
      <c r="I16" s="102">
        <v>19</v>
      </c>
      <c r="J16" s="102">
        <v>19</v>
      </c>
      <c r="K16" s="102">
        <v>14</v>
      </c>
      <c r="L16" s="102">
        <v>14</v>
      </c>
      <c r="M16" s="102">
        <v>14</v>
      </c>
      <c r="N16" s="102">
        <v>14</v>
      </c>
      <c r="O16" s="102">
        <v>14</v>
      </c>
      <c r="P16" s="102">
        <v>14</v>
      </c>
      <c r="Q16" s="102">
        <v>14</v>
      </c>
      <c r="R16" s="102">
        <v>14</v>
      </c>
      <c r="S16" s="102">
        <v>14</v>
      </c>
      <c r="T16" s="102">
        <v>14</v>
      </c>
      <c r="U16" s="102">
        <v>14</v>
      </c>
      <c r="V16" s="102">
        <v>14</v>
      </c>
      <c r="W16" s="102">
        <v>14</v>
      </c>
      <c r="X16" s="102">
        <v>14</v>
      </c>
      <c r="Y16" s="102">
        <v>14</v>
      </c>
      <c r="Z16" s="102">
        <v>14</v>
      </c>
      <c r="AA16" s="78"/>
    </row>
    <row r="17" spans="1:27" ht="14.25" customHeight="1" x14ac:dyDescent="0.25">
      <c r="A17" s="6"/>
      <c r="B17" s="103" t="s">
        <v>195</v>
      </c>
      <c r="C17" s="104" t="s">
        <v>196</v>
      </c>
      <c r="D17" s="100" t="s">
        <v>189</v>
      </c>
      <c r="E17" s="102">
        <v>175</v>
      </c>
      <c r="F17" s="102">
        <v>175</v>
      </c>
      <c r="G17" s="102">
        <v>175</v>
      </c>
      <c r="H17" s="102">
        <v>175</v>
      </c>
      <c r="I17" s="102">
        <v>175</v>
      </c>
      <c r="J17" s="102">
        <v>175</v>
      </c>
      <c r="K17" s="102">
        <v>175</v>
      </c>
      <c r="L17" s="102">
        <v>175</v>
      </c>
      <c r="M17" s="102">
        <v>175</v>
      </c>
      <c r="N17" s="102">
        <v>175</v>
      </c>
      <c r="O17" s="102">
        <v>175</v>
      </c>
      <c r="P17" s="102">
        <v>175</v>
      </c>
      <c r="Q17" s="102">
        <v>175</v>
      </c>
      <c r="R17" s="102">
        <v>175</v>
      </c>
      <c r="S17" s="102">
        <v>0</v>
      </c>
      <c r="T17" s="102">
        <v>0</v>
      </c>
      <c r="U17" s="102">
        <v>0</v>
      </c>
      <c r="V17" s="102">
        <v>0</v>
      </c>
      <c r="W17" s="102">
        <v>0</v>
      </c>
      <c r="X17" s="102">
        <v>0</v>
      </c>
      <c r="Y17" s="102">
        <v>0</v>
      </c>
      <c r="Z17" s="102">
        <v>0</v>
      </c>
      <c r="AA17" s="78"/>
    </row>
    <row r="18" spans="1:27" ht="14.25" customHeight="1" x14ac:dyDescent="0.25">
      <c r="B18" s="103" t="s">
        <v>65</v>
      </c>
      <c r="C18" s="104" t="s">
        <v>196</v>
      </c>
      <c r="D18" s="67" t="s">
        <v>189</v>
      </c>
      <c r="E18" s="102">
        <v>100</v>
      </c>
      <c r="F18" s="102">
        <v>100</v>
      </c>
      <c r="G18" s="102">
        <v>100</v>
      </c>
      <c r="H18" s="102">
        <v>100</v>
      </c>
      <c r="I18" s="102">
        <v>100</v>
      </c>
      <c r="J18" s="102">
        <v>100</v>
      </c>
      <c r="K18" s="102">
        <v>100</v>
      </c>
      <c r="L18" s="102">
        <v>100</v>
      </c>
      <c r="M18" s="102">
        <v>100</v>
      </c>
      <c r="N18" s="102">
        <v>100</v>
      </c>
      <c r="O18" s="102">
        <v>100</v>
      </c>
      <c r="P18" s="102">
        <v>100</v>
      </c>
      <c r="Q18" s="102">
        <v>100</v>
      </c>
      <c r="R18" s="102">
        <v>100</v>
      </c>
      <c r="S18" s="102">
        <v>0</v>
      </c>
      <c r="T18" s="102">
        <v>0</v>
      </c>
      <c r="U18" s="102">
        <v>0</v>
      </c>
      <c r="V18" s="102">
        <v>0</v>
      </c>
      <c r="W18" s="102">
        <v>0</v>
      </c>
      <c r="X18" s="102">
        <v>0</v>
      </c>
      <c r="Y18" s="102">
        <v>0</v>
      </c>
      <c r="Z18" s="102">
        <v>0</v>
      </c>
      <c r="AA18" s="78"/>
    </row>
    <row r="19" spans="1:27" ht="14.25" customHeight="1" x14ac:dyDescent="0.25">
      <c r="B19" s="78" t="s">
        <v>197</v>
      </c>
      <c r="C19" s="104" t="s">
        <v>196</v>
      </c>
      <c r="D19" s="100" t="s">
        <v>189</v>
      </c>
      <c r="E19" s="102">
        <v>0</v>
      </c>
      <c r="F19" s="102">
        <v>0</v>
      </c>
      <c r="G19" s="102">
        <v>0</v>
      </c>
      <c r="H19" s="102">
        <v>0</v>
      </c>
      <c r="I19" s="102">
        <v>0</v>
      </c>
      <c r="J19" s="102">
        <v>0</v>
      </c>
      <c r="K19" s="102">
        <v>0</v>
      </c>
      <c r="L19" s="102">
        <v>0</v>
      </c>
      <c r="M19" s="102">
        <v>0</v>
      </c>
      <c r="N19" s="102">
        <v>0</v>
      </c>
      <c r="O19" s="102">
        <v>0</v>
      </c>
      <c r="P19" s="102">
        <v>0</v>
      </c>
      <c r="Q19" s="102">
        <v>0</v>
      </c>
      <c r="R19" s="102">
        <v>0</v>
      </c>
      <c r="S19" s="102">
        <v>0</v>
      </c>
      <c r="T19" s="102">
        <v>0</v>
      </c>
      <c r="U19" s="102">
        <v>0</v>
      </c>
      <c r="V19" s="102">
        <v>0</v>
      </c>
      <c r="W19" s="102">
        <v>0</v>
      </c>
      <c r="X19" s="102">
        <v>0</v>
      </c>
      <c r="Y19" s="102">
        <v>0</v>
      </c>
      <c r="Z19" s="102">
        <v>0</v>
      </c>
      <c r="AA19" s="78"/>
    </row>
    <row r="20" spans="1:27" ht="14.25" customHeight="1" x14ac:dyDescent="0.25">
      <c r="B20" s="105" t="s">
        <v>198</v>
      </c>
      <c r="C20" s="106" t="s">
        <v>175</v>
      </c>
      <c r="D20" s="106" t="s">
        <v>183</v>
      </c>
      <c r="E20" s="68">
        <v>2029</v>
      </c>
      <c r="F20" s="68">
        <v>2030</v>
      </c>
      <c r="G20" s="68">
        <v>2031</v>
      </c>
      <c r="H20" s="68">
        <v>2032</v>
      </c>
      <c r="I20" s="68">
        <v>2033</v>
      </c>
      <c r="J20" s="68">
        <v>2034</v>
      </c>
      <c r="K20" s="68">
        <v>2035</v>
      </c>
      <c r="L20" s="68">
        <v>2036</v>
      </c>
      <c r="M20" s="68">
        <v>2037</v>
      </c>
      <c r="N20" s="68">
        <v>2038</v>
      </c>
      <c r="O20" s="68">
        <v>2039</v>
      </c>
      <c r="P20" s="68">
        <v>2040</v>
      </c>
      <c r="Q20" s="68">
        <v>2041</v>
      </c>
      <c r="R20" s="68">
        <v>2042</v>
      </c>
      <c r="S20" s="68">
        <v>2043</v>
      </c>
      <c r="T20" s="68">
        <v>2044</v>
      </c>
      <c r="U20" s="68">
        <v>2045</v>
      </c>
      <c r="V20" s="68">
        <v>2046</v>
      </c>
      <c r="W20" s="68">
        <v>2047</v>
      </c>
      <c r="X20" s="68">
        <v>2048</v>
      </c>
      <c r="Y20" s="68">
        <v>2049</v>
      </c>
      <c r="Z20" s="68">
        <v>2050</v>
      </c>
      <c r="AA20" s="78"/>
    </row>
    <row r="21" spans="1:27" ht="14.25" customHeight="1" x14ac:dyDescent="0.25">
      <c r="B21" s="103" t="s">
        <v>161</v>
      </c>
      <c r="C21" s="107" t="s">
        <v>199</v>
      </c>
      <c r="D21" s="67" t="s">
        <v>200</v>
      </c>
      <c r="E21" s="108">
        <v>14.614285714285714</v>
      </c>
      <c r="F21" s="108">
        <v>14.4</v>
      </c>
      <c r="G21" s="108">
        <v>14.27</v>
      </c>
      <c r="H21" s="108">
        <v>14.14</v>
      </c>
      <c r="I21" s="108">
        <v>14.01</v>
      </c>
      <c r="J21" s="108">
        <v>13.88</v>
      </c>
      <c r="K21" s="108">
        <v>13.75</v>
      </c>
      <c r="L21" s="108">
        <v>13.62</v>
      </c>
      <c r="M21" s="108">
        <v>13.49</v>
      </c>
      <c r="N21" s="108">
        <v>13.36</v>
      </c>
      <c r="O21" s="108">
        <v>13.23</v>
      </c>
      <c r="P21" s="108">
        <v>13.1</v>
      </c>
      <c r="Q21" s="108">
        <v>12.959999999999999</v>
      </c>
      <c r="R21" s="108">
        <v>12.82</v>
      </c>
      <c r="S21" s="108">
        <v>12.68</v>
      </c>
      <c r="T21" s="108">
        <v>12.54</v>
      </c>
      <c r="U21" s="108">
        <v>12.399999999999999</v>
      </c>
      <c r="V21" s="108">
        <v>12.26</v>
      </c>
      <c r="W21" s="108">
        <v>12.12</v>
      </c>
      <c r="X21" s="108">
        <v>11.979999999999999</v>
      </c>
      <c r="Y21" s="108">
        <v>11.84</v>
      </c>
      <c r="Z21" s="108">
        <v>11.7</v>
      </c>
      <c r="AA21" s="78"/>
    </row>
    <row r="22" spans="1:27" ht="14.25" customHeight="1" x14ac:dyDescent="0.25">
      <c r="B22" s="103" t="s">
        <v>201</v>
      </c>
      <c r="C22" s="107" t="s">
        <v>199</v>
      </c>
      <c r="D22" s="67" t="s">
        <v>200</v>
      </c>
      <c r="E22" s="108">
        <v>11.100000000000001</v>
      </c>
      <c r="F22" s="108">
        <v>10.3</v>
      </c>
      <c r="G22" s="108">
        <v>10.290000000000001</v>
      </c>
      <c r="H22" s="108">
        <v>10.280000000000001</v>
      </c>
      <c r="I22" s="108">
        <v>10.27</v>
      </c>
      <c r="J22" s="108">
        <v>10.26</v>
      </c>
      <c r="K22" s="108">
        <v>10.25</v>
      </c>
      <c r="L22" s="108">
        <v>10.24</v>
      </c>
      <c r="M22" s="108">
        <v>10.23</v>
      </c>
      <c r="N22" s="108">
        <v>10.219999999999999</v>
      </c>
      <c r="O22" s="108">
        <v>10.209999999999999</v>
      </c>
      <c r="P22" s="108">
        <v>10.199999999999999</v>
      </c>
      <c r="Q22" s="108">
        <v>10.19</v>
      </c>
      <c r="R22" s="108">
        <v>10.18</v>
      </c>
      <c r="S22" s="108">
        <v>10.17</v>
      </c>
      <c r="T22" s="108">
        <v>10.16</v>
      </c>
      <c r="U22" s="108">
        <v>10.149999999999999</v>
      </c>
      <c r="V22" s="108">
        <v>10.139999999999999</v>
      </c>
      <c r="W22" s="108">
        <v>10.129999999999999</v>
      </c>
      <c r="X22" s="108">
        <v>10.119999999999999</v>
      </c>
      <c r="Y22" s="108">
        <v>10.11</v>
      </c>
      <c r="Z22" s="108">
        <v>10.1</v>
      </c>
      <c r="AA22" s="78"/>
    </row>
    <row r="23" spans="1:27" ht="14.25" customHeight="1" x14ac:dyDescent="0.25">
      <c r="B23" s="78" t="s">
        <v>162</v>
      </c>
      <c r="C23" s="109" t="s">
        <v>199</v>
      </c>
      <c r="D23" s="110" t="s">
        <v>200</v>
      </c>
      <c r="E23" s="102">
        <v>30.5</v>
      </c>
      <c r="F23" s="102">
        <v>30.9</v>
      </c>
      <c r="G23" s="102">
        <v>31.3</v>
      </c>
      <c r="H23" s="102">
        <v>31.7</v>
      </c>
      <c r="I23" s="102">
        <v>32.200000000000003</v>
      </c>
      <c r="J23" s="102">
        <v>32.6</v>
      </c>
      <c r="K23" s="102">
        <v>33</v>
      </c>
      <c r="L23" s="102">
        <v>33.4</v>
      </c>
      <c r="M23" s="102">
        <v>33.799999999999997</v>
      </c>
      <c r="N23" s="102">
        <v>34.299999999999997</v>
      </c>
      <c r="O23" s="102">
        <v>34.700000000000003</v>
      </c>
      <c r="P23" s="102">
        <v>35.1</v>
      </c>
      <c r="Q23" s="102">
        <v>35.6</v>
      </c>
      <c r="R23" s="102">
        <v>36</v>
      </c>
      <c r="S23" s="102">
        <v>36.5</v>
      </c>
      <c r="T23" s="102">
        <v>36.9</v>
      </c>
      <c r="U23" s="102">
        <v>37.4</v>
      </c>
      <c r="V23" s="102">
        <v>37.799999999999997</v>
      </c>
      <c r="W23" s="102">
        <v>38.200000000000003</v>
      </c>
      <c r="X23" s="102">
        <v>38.700000000000003</v>
      </c>
      <c r="Y23" s="102">
        <v>39.1</v>
      </c>
      <c r="Z23" s="102">
        <v>39.6</v>
      </c>
      <c r="AA23" s="78"/>
    </row>
    <row r="24" spans="1:27" ht="14.25" customHeight="1" x14ac:dyDescent="0.25">
      <c r="B24" s="103" t="s">
        <v>202</v>
      </c>
      <c r="C24" s="107" t="s">
        <v>199</v>
      </c>
      <c r="D24" s="67" t="s">
        <v>200</v>
      </c>
      <c r="E24" s="108">
        <v>26.2</v>
      </c>
      <c r="F24" s="108">
        <v>26.5</v>
      </c>
      <c r="G24" s="108">
        <v>26.9</v>
      </c>
      <c r="H24" s="108">
        <v>27.2</v>
      </c>
      <c r="I24" s="108">
        <v>27.6</v>
      </c>
      <c r="J24" s="108">
        <v>28</v>
      </c>
      <c r="K24" s="108">
        <v>28.4</v>
      </c>
      <c r="L24" s="108">
        <v>28.7</v>
      </c>
      <c r="M24" s="108">
        <v>29.1</v>
      </c>
      <c r="N24" s="108">
        <v>29.5</v>
      </c>
      <c r="O24" s="108">
        <v>29.8</v>
      </c>
      <c r="P24" s="108">
        <v>30.2</v>
      </c>
      <c r="Q24" s="108">
        <v>30.6</v>
      </c>
      <c r="R24" s="108">
        <v>31</v>
      </c>
      <c r="S24" s="108">
        <v>31.4</v>
      </c>
      <c r="T24" s="108">
        <v>31.8</v>
      </c>
      <c r="U24" s="108">
        <v>32.200000000000003</v>
      </c>
      <c r="V24" s="108">
        <v>32.700000000000003</v>
      </c>
      <c r="W24" s="108">
        <v>33.1</v>
      </c>
      <c r="X24" s="108">
        <v>33.5</v>
      </c>
      <c r="Y24" s="108">
        <v>33.9</v>
      </c>
      <c r="Z24" s="108">
        <v>34.299999999999997</v>
      </c>
      <c r="AA24" s="78"/>
    </row>
    <row r="25" spans="1:27" ht="14.25" customHeight="1" x14ac:dyDescent="0.25">
      <c r="B25" s="78" t="s">
        <v>203</v>
      </c>
      <c r="C25" s="107" t="s">
        <v>199</v>
      </c>
      <c r="D25" s="110" t="s">
        <v>200</v>
      </c>
      <c r="E25" s="102">
        <f t="shared" ref="E25:Z25" si="0">AVERAGE(E26:E27)</f>
        <v>55.25714285714286</v>
      </c>
      <c r="F25" s="102">
        <f t="shared" si="0"/>
        <v>53.85</v>
      </c>
      <c r="G25" s="102">
        <f t="shared" si="0"/>
        <v>53.085000000000001</v>
      </c>
      <c r="H25" s="102">
        <f t="shared" si="0"/>
        <v>52.320000000000007</v>
      </c>
      <c r="I25" s="102">
        <f t="shared" si="0"/>
        <v>51.555</v>
      </c>
      <c r="J25" s="102">
        <f t="shared" si="0"/>
        <v>50.79</v>
      </c>
      <c r="K25" s="102">
        <f t="shared" si="0"/>
        <v>50.024999999999999</v>
      </c>
      <c r="L25" s="102">
        <f t="shared" si="0"/>
        <v>49.260000000000005</v>
      </c>
      <c r="M25" s="102">
        <f t="shared" si="0"/>
        <v>48.495000000000005</v>
      </c>
      <c r="N25" s="102">
        <f t="shared" si="0"/>
        <v>47.73</v>
      </c>
      <c r="O25" s="102">
        <f t="shared" si="0"/>
        <v>46.965000000000003</v>
      </c>
      <c r="P25" s="102">
        <f t="shared" si="0"/>
        <v>46.2</v>
      </c>
      <c r="Q25" s="102">
        <f t="shared" si="0"/>
        <v>45.39</v>
      </c>
      <c r="R25" s="102">
        <f t="shared" si="0"/>
        <v>44.58</v>
      </c>
      <c r="S25" s="102">
        <f t="shared" si="0"/>
        <v>43.769999999999996</v>
      </c>
      <c r="T25" s="102">
        <f t="shared" si="0"/>
        <v>42.959999999999994</v>
      </c>
      <c r="U25" s="102">
        <f t="shared" si="0"/>
        <v>42.15</v>
      </c>
      <c r="V25" s="102">
        <f t="shared" si="0"/>
        <v>41.34</v>
      </c>
      <c r="W25" s="102">
        <f t="shared" si="0"/>
        <v>40.53</v>
      </c>
      <c r="X25" s="102">
        <f t="shared" si="0"/>
        <v>39.72</v>
      </c>
      <c r="Y25" s="102">
        <f t="shared" si="0"/>
        <v>38.909999999999997</v>
      </c>
      <c r="Z25" s="102">
        <f t="shared" si="0"/>
        <v>38.1</v>
      </c>
      <c r="AA25" s="78"/>
    </row>
    <row r="26" spans="1:27" ht="14.25" customHeight="1" x14ac:dyDescent="0.25">
      <c r="B26" s="103" t="s">
        <v>204</v>
      </c>
      <c r="C26" s="107" t="s">
        <v>199</v>
      </c>
      <c r="D26" s="67" t="s">
        <v>200</v>
      </c>
      <c r="E26" s="108">
        <v>47.714285714285715</v>
      </c>
      <c r="F26" s="108">
        <v>46.5</v>
      </c>
      <c r="G26" s="108">
        <v>45.76</v>
      </c>
      <c r="H26" s="108">
        <v>45.02</v>
      </c>
      <c r="I26" s="108">
        <v>44.28</v>
      </c>
      <c r="J26" s="108">
        <v>43.54</v>
      </c>
      <c r="K26" s="108">
        <v>42.8</v>
      </c>
      <c r="L26" s="108">
        <v>42.06</v>
      </c>
      <c r="M26" s="108">
        <v>41.32</v>
      </c>
      <c r="N26" s="108">
        <v>40.58</v>
      </c>
      <c r="O26" s="108">
        <v>39.840000000000003</v>
      </c>
      <c r="P26" s="108">
        <v>39.1</v>
      </c>
      <c r="Q26" s="108">
        <v>38.31</v>
      </c>
      <c r="R26" s="108">
        <v>37.520000000000003</v>
      </c>
      <c r="S26" s="108">
        <v>36.730000000000004</v>
      </c>
      <c r="T26" s="108">
        <v>35.94</v>
      </c>
      <c r="U26" s="108">
        <v>35.15</v>
      </c>
      <c r="V26" s="108">
        <v>34.36</v>
      </c>
      <c r="W26" s="108">
        <v>33.57</v>
      </c>
      <c r="X26" s="108">
        <v>32.78</v>
      </c>
      <c r="Y26" s="108">
        <v>31.99</v>
      </c>
      <c r="Z26" s="108">
        <v>31.2</v>
      </c>
      <c r="AA26" s="78"/>
    </row>
    <row r="27" spans="1:27" ht="14.25" customHeight="1" x14ac:dyDescent="0.25">
      <c r="B27" s="103" t="s">
        <v>205</v>
      </c>
      <c r="C27" s="107" t="s">
        <v>199</v>
      </c>
      <c r="D27" s="67" t="s">
        <v>200</v>
      </c>
      <c r="E27" s="108">
        <v>62.800000000000004</v>
      </c>
      <c r="F27" s="108">
        <v>61.2</v>
      </c>
      <c r="G27" s="108">
        <v>60.410000000000004</v>
      </c>
      <c r="H27" s="108">
        <v>59.620000000000005</v>
      </c>
      <c r="I27" s="108">
        <v>58.83</v>
      </c>
      <c r="J27" s="108">
        <v>58.04</v>
      </c>
      <c r="K27" s="108">
        <v>57.25</v>
      </c>
      <c r="L27" s="108">
        <v>56.46</v>
      </c>
      <c r="M27" s="108">
        <v>55.67</v>
      </c>
      <c r="N27" s="108">
        <v>54.879999999999995</v>
      </c>
      <c r="O27" s="108">
        <v>54.089999999999996</v>
      </c>
      <c r="P27" s="108">
        <v>53.3</v>
      </c>
      <c r="Q27" s="108">
        <v>52.47</v>
      </c>
      <c r="R27" s="108">
        <v>51.64</v>
      </c>
      <c r="S27" s="108">
        <v>50.809999999999995</v>
      </c>
      <c r="T27" s="108">
        <v>49.98</v>
      </c>
      <c r="U27" s="108">
        <v>49.15</v>
      </c>
      <c r="V27" s="108">
        <v>48.32</v>
      </c>
      <c r="W27" s="108">
        <v>47.49</v>
      </c>
      <c r="X27" s="108">
        <v>46.66</v>
      </c>
      <c r="Y27" s="108">
        <v>45.83</v>
      </c>
      <c r="Z27" s="108">
        <v>45</v>
      </c>
      <c r="AA27" s="78"/>
    </row>
    <row r="28" spans="1:27" ht="13.5" customHeight="1" x14ac:dyDescent="0.35">
      <c r="B28" s="349"/>
      <c r="C28" s="341"/>
      <c r="D28" s="339"/>
      <c r="E28" s="339"/>
      <c r="F28" s="339"/>
      <c r="G28" s="339"/>
      <c r="H28" s="339"/>
      <c r="I28" s="339"/>
      <c r="J28" s="339"/>
      <c r="K28" s="339"/>
      <c r="L28" s="339"/>
    </row>
    <row r="29" spans="1:27" x14ac:dyDescent="0.25">
      <c r="B29" s="342" t="s">
        <v>206</v>
      </c>
      <c r="C29" s="341"/>
      <c r="D29" s="339"/>
      <c r="E29" s="339"/>
      <c r="F29" s="339"/>
      <c r="G29" s="339"/>
      <c r="H29" s="339"/>
      <c r="I29" s="339"/>
      <c r="J29" s="339"/>
      <c r="K29" s="339"/>
      <c r="L29" s="339"/>
    </row>
    <row r="30" spans="1:27" ht="15.6" customHeight="1" x14ac:dyDescent="0.2">
      <c r="B30" s="350" t="s">
        <v>207</v>
      </c>
      <c r="C30" s="341"/>
      <c r="D30" s="339"/>
      <c r="E30" s="339"/>
      <c r="F30" s="339"/>
      <c r="G30" s="339"/>
      <c r="H30" s="339"/>
      <c r="I30" s="339"/>
      <c r="J30" s="339"/>
      <c r="K30" s="339"/>
      <c r="L30" s="339"/>
    </row>
    <row r="31" spans="1:27" x14ac:dyDescent="0.25">
      <c r="B31" s="80" t="s">
        <v>182</v>
      </c>
      <c r="C31" s="81" t="s">
        <v>101</v>
      </c>
      <c r="D31" s="81" t="s">
        <v>103</v>
      </c>
      <c r="E31" s="81" t="s">
        <v>208</v>
      </c>
    </row>
    <row r="32" spans="1:27" x14ac:dyDescent="0.2">
      <c r="B32" s="8" t="s">
        <v>209</v>
      </c>
      <c r="C32" s="9" t="str">
        <f>Proposals!D8</f>
        <v>FuelStd+Pricing</v>
      </c>
      <c r="D32" s="9" t="str">
        <f>Proposals!F8</f>
        <v>FuelStd+Pricing</v>
      </c>
      <c r="E32" s="9" t="str">
        <f>Proposals!G8</f>
        <v>FuelStd_only</v>
      </c>
    </row>
    <row r="33" spans="2:12" x14ac:dyDescent="0.2">
      <c r="B33" s="8" t="s">
        <v>210</v>
      </c>
      <c r="C33" s="9" t="str">
        <f>Proposals!D9</f>
        <v>Yes</v>
      </c>
      <c r="D33" s="9" t="str">
        <f>Proposals!F9</f>
        <v>Yes</v>
      </c>
      <c r="E33" s="9" t="str">
        <f>Proposals!G9</f>
        <v>No</v>
      </c>
    </row>
    <row r="34" spans="2:12" x14ac:dyDescent="0.2">
      <c r="B34" s="8" t="s">
        <v>211</v>
      </c>
      <c r="C34" s="9" t="str">
        <f>Proposals!D10</f>
        <v>No</v>
      </c>
      <c r="D34" s="9" t="str">
        <f>Proposals!F10</f>
        <v>No</v>
      </c>
      <c r="E34" s="9" t="str">
        <f>Proposals!G10</f>
        <v>No</v>
      </c>
    </row>
    <row r="35" spans="2:12" x14ac:dyDescent="0.2">
      <c r="B35" s="8" t="s">
        <v>212</v>
      </c>
      <c r="C35" s="9" t="str">
        <f>Proposals!D11</f>
        <v>Yes</v>
      </c>
      <c r="D35" s="9" t="str">
        <f>Proposals!F11</f>
        <v>No</v>
      </c>
      <c r="E35" s="9" t="str">
        <f>Proposals!G11</f>
        <v>Yes</v>
      </c>
    </row>
    <row r="36" spans="2:12" x14ac:dyDescent="0.2">
      <c r="B36" s="8" t="s">
        <v>213</v>
      </c>
      <c r="C36" s="9" t="str">
        <f>Proposals!D12</f>
        <v>No</v>
      </c>
      <c r="D36" s="9" t="str">
        <f>Proposals!F12</f>
        <v>No</v>
      </c>
      <c r="E36" s="9" t="str">
        <f>Proposals!G12</f>
        <v>Yes</v>
      </c>
    </row>
    <row r="37" spans="2:12" x14ac:dyDescent="0.2">
      <c r="B37" s="8" t="s">
        <v>214</v>
      </c>
      <c r="C37" s="10">
        <f>Proposals!D14</f>
        <v>380</v>
      </c>
      <c r="D37" s="10">
        <f>Proposals!F14</f>
        <v>380</v>
      </c>
      <c r="E37" s="10">
        <f>Proposals!G14</f>
        <v>0</v>
      </c>
    </row>
    <row r="38" spans="2:12" x14ac:dyDescent="0.2">
      <c r="B38" s="8" t="s">
        <v>215</v>
      </c>
      <c r="C38" s="10">
        <f>Proposals!D15</f>
        <v>100</v>
      </c>
      <c r="D38" s="10">
        <f>Proposals!F15</f>
        <v>300</v>
      </c>
      <c r="E38" s="10">
        <f>Proposals!G15</f>
        <v>0</v>
      </c>
    </row>
    <row r="39" spans="2:12" x14ac:dyDescent="0.2">
      <c r="B39" s="8" t="s">
        <v>216</v>
      </c>
      <c r="C39" s="11">
        <f>Proposals!D18</f>
        <v>0.08</v>
      </c>
      <c r="D39" s="11">
        <f>Proposals!F18</f>
        <v>0.08</v>
      </c>
      <c r="E39" s="11">
        <f>Proposals!G18</f>
        <v>3.7647969512921264E-2</v>
      </c>
    </row>
    <row r="40" spans="2:12" x14ac:dyDescent="0.2">
      <c r="B40" s="8" t="s">
        <v>217</v>
      </c>
      <c r="C40" s="11">
        <f>Proposals!D23</f>
        <v>0.3</v>
      </c>
      <c r="D40" s="11">
        <f>Proposals!F23</f>
        <v>0.3</v>
      </c>
      <c r="E40" s="11">
        <f>Proposals!G23</f>
        <v>6.386417768250563E-2</v>
      </c>
    </row>
    <row r="41" spans="2:12" x14ac:dyDescent="0.2">
      <c r="B41" s="8" t="s">
        <v>218</v>
      </c>
      <c r="C41" s="11">
        <f>Proposals!D28</f>
        <v>0.65</v>
      </c>
      <c r="D41" s="11">
        <f>Proposals!F28</f>
        <v>0.65</v>
      </c>
      <c r="E41" s="11">
        <f>Proposals!G28</f>
        <v>9.0080385852089995E-2</v>
      </c>
    </row>
    <row r="42" spans="2:12" x14ac:dyDescent="0.2">
      <c r="B42" s="8" t="s">
        <v>219</v>
      </c>
      <c r="C42" s="11">
        <f>Proposals!D31</f>
        <v>0.21</v>
      </c>
      <c r="D42" s="11">
        <f>Proposals!F31</f>
        <v>1</v>
      </c>
      <c r="E42" s="11">
        <f>Proposals!G31</f>
        <v>3.7647969512921264E-2</v>
      </c>
    </row>
    <row r="43" spans="2:12" x14ac:dyDescent="0.2">
      <c r="B43" s="8" t="s">
        <v>220</v>
      </c>
      <c r="C43" s="11">
        <f>Proposals!D36</f>
        <v>0.43</v>
      </c>
      <c r="D43" s="11">
        <f>Proposals!F36</f>
        <v>1</v>
      </c>
      <c r="E43" s="11">
        <f>Proposals!G36</f>
        <v>6.386417768250563E-2</v>
      </c>
    </row>
    <row r="44" spans="2:12" x14ac:dyDescent="0.2">
      <c r="B44" s="8" t="s">
        <v>221</v>
      </c>
      <c r="C44" s="11">
        <f>Proposals!D41</f>
        <v>0.78</v>
      </c>
      <c r="D44" s="11">
        <f>Proposals!F41</f>
        <v>1</v>
      </c>
      <c r="E44" s="11">
        <f>Proposals!G41</f>
        <v>9.0080385852089995E-2</v>
      </c>
    </row>
    <row r="45" spans="2:12" ht="15.6" customHeight="1" x14ac:dyDescent="0.2">
      <c r="B45" s="350" t="s">
        <v>222</v>
      </c>
      <c r="C45" s="341"/>
      <c r="D45" s="339"/>
      <c r="E45" s="339"/>
      <c r="F45" s="339"/>
      <c r="G45" s="339"/>
      <c r="H45" s="339"/>
      <c r="I45" s="339"/>
      <c r="J45" s="339"/>
      <c r="K45" s="339"/>
      <c r="L45" s="339"/>
    </row>
    <row r="46" spans="2:12" x14ac:dyDescent="0.2">
      <c r="B46" s="8" t="s">
        <v>68</v>
      </c>
      <c r="C46" s="9" t="str">
        <f>Input!C10</f>
        <v>Use CIA Assumption</v>
      </c>
      <c r="D46" s="77"/>
    </row>
    <row r="47" spans="2:12" x14ac:dyDescent="0.2">
      <c r="B47" s="8" t="s">
        <v>223</v>
      </c>
      <c r="C47" s="9">
        <f>Input!C11</f>
        <v>600</v>
      </c>
      <c r="D47" s="78"/>
    </row>
    <row r="48" spans="2:12" x14ac:dyDescent="0.2">
      <c r="B48" s="8" t="s">
        <v>71</v>
      </c>
      <c r="C48" s="9" t="str">
        <f>Input!C12</f>
        <v>LNG Diesel slow speed - Midpoint</v>
      </c>
      <c r="D48" s="78"/>
    </row>
    <row r="49" spans="2:12" x14ac:dyDescent="0.2">
      <c r="B49" s="8" t="s">
        <v>73</v>
      </c>
      <c r="C49" s="9" t="str">
        <f>Input!C13</f>
        <v>Use CIA Assumption</v>
      </c>
      <c r="D49" s="78"/>
    </row>
    <row r="50" spans="2:12" x14ac:dyDescent="0.2">
      <c r="B50" s="8" t="s">
        <v>224</v>
      </c>
      <c r="C50" s="9">
        <f>Input!C14</f>
        <v>600</v>
      </c>
      <c r="D50" s="78"/>
    </row>
    <row r="51" spans="2:12" x14ac:dyDescent="0.2">
      <c r="B51" s="8" t="s">
        <v>225</v>
      </c>
      <c r="C51" s="9" t="str">
        <f>Input!C15</f>
        <v>Use CIA Assumption</v>
      </c>
      <c r="D51" s="78"/>
    </row>
    <row r="52" spans="2:12" x14ac:dyDescent="0.2">
      <c r="B52" s="8" t="s">
        <v>226</v>
      </c>
      <c r="C52" s="9">
        <f>Input!C16</f>
        <v>1800</v>
      </c>
      <c r="D52" s="78"/>
    </row>
    <row r="53" spans="2:12" x14ac:dyDescent="0.2">
      <c r="B53" s="8" t="s">
        <v>227</v>
      </c>
      <c r="C53" s="9" t="str">
        <f>Input!C17</f>
        <v>Use CIA Assumption</v>
      </c>
      <c r="D53" s="78"/>
    </row>
    <row r="54" spans="2:12" x14ac:dyDescent="0.2">
      <c r="B54" s="8" t="s">
        <v>228</v>
      </c>
      <c r="C54" s="9">
        <f>Input!C18</f>
        <v>1300</v>
      </c>
      <c r="D54" s="78"/>
    </row>
    <row r="55" spans="2:12" x14ac:dyDescent="0.2">
      <c r="B55" s="8" t="s">
        <v>229</v>
      </c>
      <c r="C55" s="9" t="str">
        <f>Input!C19</f>
        <v>Modelled ZNZ average</v>
      </c>
      <c r="D55" s="78"/>
    </row>
    <row r="56" spans="2:12" x14ac:dyDescent="0.2">
      <c r="B56" s="8" t="s">
        <v>230</v>
      </c>
      <c r="C56" s="9">
        <f>Input!C20</f>
        <v>2000</v>
      </c>
      <c r="D56" s="78"/>
    </row>
    <row r="57" spans="2:12" x14ac:dyDescent="0.2">
      <c r="B57" s="8" t="s">
        <v>231</v>
      </c>
      <c r="C57" s="9" t="str">
        <f>Input!C23</f>
        <v>Blend in bio-diesel when cheaper than RUs</v>
      </c>
      <c r="D57" s="78"/>
    </row>
    <row r="58" spans="2:12" x14ac:dyDescent="0.2">
      <c r="B58" s="8" t="s">
        <v>232</v>
      </c>
      <c r="C58" s="9" t="str">
        <f>Input!C24</f>
        <v>Blend in bio-methane when cheaper than RUs</v>
      </c>
      <c r="D58" s="78"/>
    </row>
    <row r="59" spans="2:12" x14ac:dyDescent="0.2">
      <c r="B59" s="350" t="s">
        <v>233</v>
      </c>
      <c r="C59" s="341"/>
      <c r="D59" s="339"/>
      <c r="E59" s="339"/>
      <c r="F59" s="339"/>
      <c r="G59" s="339"/>
      <c r="H59" s="339"/>
      <c r="I59" s="339"/>
      <c r="J59" s="339"/>
      <c r="K59" s="339"/>
      <c r="L59" s="339"/>
    </row>
    <row r="60" spans="2:12" x14ac:dyDescent="0.25">
      <c r="B60" s="351" t="s">
        <v>234</v>
      </c>
      <c r="C60" s="341"/>
      <c r="D60" s="339"/>
      <c r="E60" s="339"/>
      <c r="F60" s="339"/>
      <c r="G60" s="339"/>
      <c r="H60" s="339"/>
      <c r="I60" s="339"/>
      <c r="J60" s="339"/>
      <c r="K60" s="339"/>
      <c r="L60" s="339"/>
    </row>
    <row r="61" spans="2:12" x14ac:dyDescent="0.25">
      <c r="B61" s="83" t="s">
        <v>235</v>
      </c>
      <c r="C61" s="83"/>
      <c r="D61" s="13"/>
      <c r="E61" s="13"/>
      <c r="F61" s="13"/>
      <c r="G61" s="13"/>
      <c r="H61" s="13"/>
      <c r="I61" s="13"/>
      <c r="J61" s="13"/>
      <c r="K61" s="13"/>
    </row>
    <row r="62" spans="2:12" ht="24" x14ac:dyDescent="0.2">
      <c r="B62" s="84" t="s">
        <v>88</v>
      </c>
      <c r="C62" s="15">
        <f>Input!C27</f>
        <v>14.4</v>
      </c>
      <c r="D62" s="82" t="s">
        <v>236</v>
      </c>
      <c r="E62" s="9"/>
      <c r="F62" s="9"/>
      <c r="G62" s="9"/>
      <c r="H62" s="9"/>
      <c r="I62" s="9"/>
      <c r="J62" s="9"/>
      <c r="K62" s="9"/>
    </row>
    <row r="63" spans="2:12" ht="36" customHeight="1" x14ac:dyDescent="0.2">
      <c r="B63" s="84" t="s">
        <v>237</v>
      </c>
      <c r="C63" s="15">
        <v>1</v>
      </c>
      <c r="D63" s="82" t="s">
        <v>238</v>
      </c>
      <c r="E63" s="9"/>
      <c r="F63" s="9"/>
      <c r="G63" s="9"/>
      <c r="H63" s="9"/>
      <c r="I63" s="9"/>
      <c r="J63" s="9"/>
      <c r="K63" s="9"/>
    </row>
    <row r="64" spans="2:12" x14ac:dyDescent="0.2">
      <c r="B64" s="84" t="s">
        <v>239</v>
      </c>
      <c r="C64" s="15">
        <f>C62*(1+C63)</f>
        <v>28.8</v>
      </c>
      <c r="D64" s="82" t="s">
        <v>240</v>
      </c>
      <c r="E64" s="9"/>
      <c r="F64" s="9"/>
      <c r="G64" s="9"/>
      <c r="H64" s="9"/>
      <c r="I64" s="9"/>
      <c r="J64" s="9"/>
      <c r="K64" s="9"/>
    </row>
    <row r="65" spans="2:12" ht="24" customHeight="1" x14ac:dyDescent="0.2">
      <c r="B65" s="84" t="s">
        <v>89</v>
      </c>
      <c r="C65" s="15">
        <f>Input!C28</f>
        <v>2028</v>
      </c>
      <c r="D65" s="82" t="s">
        <v>241</v>
      </c>
      <c r="E65" s="9"/>
      <c r="F65" s="9"/>
      <c r="G65" s="9"/>
      <c r="H65" s="9"/>
      <c r="I65" s="9"/>
      <c r="J65" s="9"/>
      <c r="K65" s="9"/>
    </row>
    <row r="66" spans="2:12" x14ac:dyDescent="0.2">
      <c r="B66" s="84" t="s">
        <v>242</v>
      </c>
      <c r="C66" s="15">
        <f>Assumptions!$D$5</f>
        <v>93.3</v>
      </c>
      <c r="D66" s="82" t="s">
        <v>243</v>
      </c>
      <c r="E66" s="9"/>
      <c r="F66" s="9"/>
      <c r="G66" s="9"/>
      <c r="H66" s="9"/>
      <c r="I66" s="9"/>
      <c r="J66" s="9"/>
      <c r="K66" s="9"/>
    </row>
    <row r="67" spans="2:12" x14ac:dyDescent="0.2">
      <c r="B67" s="350" t="s">
        <v>244</v>
      </c>
      <c r="C67" s="341"/>
      <c r="D67" s="339"/>
      <c r="E67" s="339"/>
      <c r="F67" s="339"/>
      <c r="G67" s="339"/>
      <c r="H67" s="339"/>
      <c r="I67" s="339"/>
      <c r="J67" s="339"/>
      <c r="K67" s="339"/>
      <c r="L67" s="339"/>
    </row>
    <row r="68" spans="2:12" ht="29.1" customHeight="1" x14ac:dyDescent="0.25">
      <c r="B68" s="85" t="s">
        <v>245</v>
      </c>
      <c r="C68" s="85" t="s">
        <v>246</v>
      </c>
      <c r="D68" s="85" t="s">
        <v>247</v>
      </c>
      <c r="E68" s="85" t="s">
        <v>248</v>
      </c>
      <c r="F68" s="85" t="s">
        <v>249</v>
      </c>
      <c r="G68" s="85" t="s">
        <v>250</v>
      </c>
      <c r="H68" s="85" t="s">
        <v>251</v>
      </c>
      <c r="I68" s="85" t="s">
        <v>252</v>
      </c>
      <c r="J68" s="85" t="s">
        <v>253</v>
      </c>
      <c r="K68" s="85" t="s">
        <v>254</v>
      </c>
      <c r="L68" s="85" t="s">
        <v>255</v>
      </c>
    </row>
    <row r="69" spans="2:12" x14ac:dyDescent="0.2">
      <c r="B69" s="84" t="s">
        <v>161</v>
      </c>
      <c r="C69" s="86">
        <v>92.1</v>
      </c>
      <c r="D69" s="86">
        <v>0.88</v>
      </c>
      <c r="E69" s="86">
        <v>14.4</v>
      </c>
      <c r="F69" s="86" t="s">
        <v>92</v>
      </c>
      <c r="G69" s="86">
        <v>-0.02</v>
      </c>
      <c r="H69" s="86" t="str">
        <f t="shared" ref="H69:H76" si="1">IF(E69&lt;=$C$64,"Yes","No")</f>
        <v>Yes</v>
      </c>
      <c r="I69" s="86" t="str">
        <f t="shared" ref="I69:I76" si="2">IF(AND(D69&gt;=0.04,F69="Yes"),"Yes","No")</f>
        <v>Yes</v>
      </c>
      <c r="J69" s="86" t="str">
        <f t="shared" ref="J69:J76" si="3">IF(D69&gt;0.04,"Yes",IF(G69&gt;=0.05,"Yes","No"))</f>
        <v>Yes</v>
      </c>
      <c r="K69" s="86" t="str">
        <f t="shared" ref="K69:K76" si="4">IF(AND(H69="Yes",I69="Yes",J69="Yes"),"Yes","No")</f>
        <v>Yes</v>
      </c>
      <c r="L69" s="86">
        <f t="shared" ref="L69:L76" si="5">IF(K69="Yes",C69,9999)</f>
        <v>92.1</v>
      </c>
    </row>
    <row r="70" spans="2:12" x14ac:dyDescent="0.2">
      <c r="B70" s="84" t="s">
        <v>201</v>
      </c>
      <c r="C70" s="86">
        <v>76.09</v>
      </c>
      <c r="D70" s="86">
        <v>0.08</v>
      </c>
      <c r="E70" s="86">
        <v>10.3</v>
      </c>
      <c r="F70" s="86" t="s">
        <v>92</v>
      </c>
      <c r="G70" s="86">
        <v>0.08</v>
      </c>
      <c r="H70" s="86" t="str">
        <f t="shared" si="1"/>
        <v>Yes</v>
      </c>
      <c r="I70" s="86" t="str">
        <f t="shared" si="2"/>
        <v>Yes</v>
      </c>
      <c r="J70" s="86" t="str">
        <f t="shared" si="3"/>
        <v>Yes</v>
      </c>
      <c r="K70" s="86" t="str">
        <f t="shared" si="4"/>
        <v>Yes</v>
      </c>
      <c r="L70" s="86">
        <f t="shared" si="5"/>
        <v>76.09</v>
      </c>
    </row>
    <row r="71" spans="2:12" x14ac:dyDescent="0.2">
      <c r="B71" s="8" t="s">
        <v>162</v>
      </c>
      <c r="C71" s="86">
        <v>45</v>
      </c>
      <c r="D71" s="86">
        <v>0.01</v>
      </c>
      <c r="E71" s="86">
        <v>30.9</v>
      </c>
      <c r="F71" s="86" t="s">
        <v>92</v>
      </c>
      <c r="G71" s="86">
        <v>0.12</v>
      </c>
      <c r="H71" s="86" t="str">
        <f t="shared" si="1"/>
        <v>No</v>
      </c>
      <c r="I71" s="86" t="str">
        <f t="shared" si="2"/>
        <v>No</v>
      </c>
      <c r="J71" s="86" t="str">
        <f t="shared" si="3"/>
        <v>Yes</v>
      </c>
      <c r="K71" s="86" t="str">
        <f t="shared" si="4"/>
        <v>No</v>
      </c>
      <c r="L71" s="86">
        <f t="shared" si="5"/>
        <v>9999</v>
      </c>
    </row>
    <row r="72" spans="2:12" x14ac:dyDescent="0.2">
      <c r="B72" s="8" t="s">
        <v>256</v>
      </c>
      <c r="C72" s="86">
        <v>5.4</v>
      </c>
      <c r="D72" s="86">
        <v>5.0000000000000001E-3</v>
      </c>
      <c r="E72" s="86">
        <v>26.5</v>
      </c>
      <c r="F72" s="86" t="s">
        <v>94</v>
      </c>
      <c r="G72" s="86">
        <v>0.18</v>
      </c>
      <c r="H72" s="86" t="str">
        <f t="shared" si="1"/>
        <v>Yes</v>
      </c>
      <c r="I72" s="86" t="str">
        <f t="shared" si="2"/>
        <v>No</v>
      </c>
      <c r="J72" s="86" t="str">
        <f t="shared" si="3"/>
        <v>Yes</v>
      </c>
      <c r="K72" s="86" t="str">
        <f t="shared" si="4"/>
        <v>No</v>
      </c>
      <c r="L72" s="86">
        <f t="shared" si="5"/>
        <v>9999</v>
      </c>
    </row>
    <row r="73" spans="2:12" x14ac:dyDescent="0.2">
      <c r="B73" s="8" t="s">
        <v>257</v>
      </c>
      <c r="C73" s="86">
        <v>2</v>
      </c>
      <c r="D73" s="86">
        <v>1E-3</v>
      </c>
      <c r="E73" s="86">
        <v>46.5</v>
      </c>
      <c r="F73" s="86" t="s">
        <v>94</v>
      </c>
      <c r="G73" s="86">
        <v>0.6</v>
      </c>
      <c r="H73" s="86" t="str">
        <f t="shared" si="1"/>
        <v>No</v>
      </c>
      <c r="I73" s="86" t="str">
        <f t="shared" si="2"/>
        <v>No</v>
      </c>
      <c r="J73" s="86" t="str">
        <f t="shared" si="3"/>
        <v>Yes</v>
      </c>
      <c r="K73" s="86" t="str">
        <f t="shared" si="4"/>
        <v>No</v>
      </c>
      <c r="L73" s="86">
        <f t="shared" si="5"/>
        <v>9999</v>
      </c>
    </row>
    <row r="74" spans="2:12" x14ac:dyDescent="0.2">
      <c r="B74" s="8" t="s">
        <v>258</v>
      </c>
      <c r="C74" s="86">
        <v>17.5</v>
      </c>
      <c r="D74" s="86">
        <v>5.0000000000000001E-3</v>
      </c>
      <c r="E74" s="86">
        <v>15</v>
      </c>
      <c r="F74" s="86" t="s">
        <v>94</v>
      </c>
      <c r="G74" s="86">
        <v>0.25</v>
      </c>
      <c r="H74" s="86" t="str">
        <f t="shared" si="1"/>
        <v>Yes</v>
      </c>
      <c r="I74" s="86" t="str">
        <f t="shared" si="2"/>
        <v>No</v>
      </c>
      <c r="J74" s="86" t="str">
        <f t="shared" si="3"/>
        <v>Yes</v>
      </c>
      <c r="K74" s="86" t="str">
        <f t="shared" si="4"/>
        <v>No</v>
      </c>
      <c r="L74" s="86">
        <f t="shared" si="5"/>
        <v>9999</v>
      </c>
    </row>
    <row r="75" spans="2:12" x14ac:dyDescent="0.2">
      <c r="B75" s="84" t="s">
        <v>259</v>
      </c>
      <c r="C75" s="86">
        <v>2</v>
      </c>
      <c r="D75" s="86">
        <v>1E-3</v>
      </c>
      <c r="E75" s="86">
        <v>61.2</v>
      </c>
      <c r="F75" s="86" t="s">
        <v>94</v>
      </c>
      <c r="G75" s="86">
        <v>0.5</v>
      </c>
      <c r="H75" s="86" t="str">
        <f t="shared" si="1"/>
        <v>No</v>
      </c>
      <c r="I75" s="86" t="str">
        <f t="shared" si="2"/>
        <v>No</v>
      </c>
      <c r="J75" s="86" t="str">
        <f t="shared" si="3"/>
        <v>Yes</v>
      </c>
      <c r="K75" s="86" t="str">
        <f t="shared" si="4"/>
        <v>No</v>
      </c>
      <c r="L75" s="86">
        <f t="shared" si="5"/>
        <v>9999</v>
      </c>
    </row>
    <row r="76" spans="2:12" x14ac:dyDescent="0.2">
      <c r="B76" s="84" t="s">
        <v>260</v>
      </c>
      <c r="C76" s="86">
        <v>8.9</v>
      </c>
      <c r="D76" s="86">
        <v>1.7999999999999999E-2</v>
      </c>
      <c r="E76" s="86">
        <v>30.8</v>
      </c>
      <c r="F76" s="86" t="s">
        <v>94</v>
      </c>
      <c r="G76" s="86">
        <v>0.2</v>
      </c>
      <c r="H76" s="86" t="str">
        <f t="shared" si="1"/>
        <v>No</v>
      </c>
      <c r="I76" s="86" t="str">
        <f t="shared" si="2"/>
        <v>No</v>
      </c>
      <c r="J76" s="86" t="str">
        <f t="shared" si="3"/>
        <v>Yes</v>
      </c>
      <c r="K76" s="86" t="str">
        <f t="shared" si="4"/>
        <v>No</v>
      </c>
      <c r="L76" s="86">
        <f t="shared" si="5"/>
        <v>9999</v>
      </c>
    </row>
    <row r="77" spans="2:12" x14ac:dyDescent="0.2">
      <c r="B77" s="350" t="s">
        <v>261</v>
      </c>
      <c r="C77" s="341"/>
      <c r="D77" s="339"/>
      <c r="E77" s="339"/>
      <c r="F77" s="339"/>
      <c r="G77" s="339"/>
      <c r="H77" s="339"/>
      <c r="I77" s="339"/>
      <c r="J77" s="339"/>
      <c r="K77" s="339"/>
      <c r="L77" s="339"/>
    </row>
    <row r="78" spans="2:12" ht="24" customHeight="1" x14ac:dyDescent="0.2">
      <c r="B78" s="87" t="s">
        <v>262</v>
      </c>
      <c r="C78" s="280" cm="1">
        <f>IFERROR(SUMPRODUCT((K69:K76="Yes")*D69:D76*C69:C76)/SUMPRODUCT((K69:K76="Yes")*D69:D76),0)</f>
        <v>90.765833333333333</v>
      </c>
      <c r="D78" s="12" t="s">
        <v>263</v>
      </c>
    </row>
    <row r="79" spans="2:12" ht="24" customHeight="1" x14ac:dyDescent="0.2">
      <c r="B79" s="84" t="s">
        <v>264</v>
      </c>
      <c r="C79" s="281">
        <f>MIN(L69:L76)</f>
        <v>76.09</v>
      </c>
      <c r="D79" s="12" t="s">
        <v>265</v>
      </c>
    </row>
    <row r="80" spans="2:12" ht="24" customHeight="1" x14ac:dyDescent="0.2">
      <c r="B80" s="84" t="s">
        <v>266</v>
      </c>
      <c r="C80" s="281">
        <f>(C78-C79)/30</f>
        <v>0.48919444444444432</v>
      </c>
      <c r="D80" s="12" t="s">
        <v>267</v>
      </c>
    </row>
    <row r="81" spans="2:25" x14ac:dyDescent="0.2">
      <c r="B81" s="84" t="s">
        <v>268</v>
      </c>
      <c r="C81" s="281">
        <f>SUMPRODUCT((K69:K76="Yes")*D69:D76)</f>
        <v>0.96</v>
      </c>
      <c r="D81" s="12" t="s">
        <v>269</v>
      </c>
    </row>
    <row r="82" spans="2:25" x14ac:dyDescent="0.2">
      <c r="B82" s="350" t="s">
        <v>270</v>
      </c>
      <c r="C82" s="341"/>
      <c r="D82" s="339"/>
      <c r="E82" s="339"/>
      <c r="F82" s="339"/>
      <c r="G82" s="339"/>
      <c r="H82" s="339"/>
      <c r="I82" s="339"/>
      <c r="J82" s="339"/>
      <c r="K82" s="339"/>
      <c r="L82" s="339"/>
    </row>
    <row r="83" spans="2:25" x14ac:dyDescent="0.2">
      <c r="B83" s="87" t="s">
        <v>271</v>
      </c>
      <c r="C83" s="275"/>
      <c r="D83" s="276">
        <v>2029</v>
      </c>
      <c r="E83" s="276">
        <v>2030</v>
      </c>
      <c r="F83" s="276">
        <v>2031</v>
      </c>
      <c r="G83" s="276">
        <v>2032</v>
      </c>
      <c r="H83" s="276">
        <v>2033</v>
      </c>
      <c r="I83" s="276">
        <v>2034</v>
      </c>
      <c r="J83" s="276">
        <v>2035</v>
      </c>
      <c r="K83" s="276">
        <v>2036</v>
      </c>
      <c r="L83" s="276">
        <v>2037</v>
      </c>
      <c r="M83" s="276">
        <v>2038</v>
      </c>
      <c r="N83" s="276">
        <v>2039</v>
      </c>
      <c r="O83" s="276">
        <v>2040</v>
      </c>
      <c r="P83" s="276">
        <v>2041</v>
      </c>
      <c r="Q83" s="276">
        <v>2042</v>
      </c>
      <c r="R83" s="276">
        <v>2043</v>
      </c>
      <c r="S83" s="276">
        <v>2044</v>
      </c>
      <c r="T83" s="276">
        <v>2045</v>
      </c>
      <c r="U83" s="276">
        <v>2046</v>
      </c>
      <c r="V83" s="276">
        <v>2047</v>
      </c>
      <c r="W83" s="276">
        <v>2048</v>
      </c>
      <c r="X83" s="276">
        <v>2049</v>
      </c>
      <c r="Y83" s="276">
        <v>2050</v>
      </c>
    </row>
    <row r="84" spans="2:25" x14ac:dyDescent="0.2">
      <c r="B84" s="84" t="s">
        <v>272</v>
      </c>
      <c r="C84" s="277"/>
      <c r="D84" s="88">
        <f t="shared" ref="D84:Y84" si="6">D83-$C$65</f>
        <v>1</v>
      </c>
      <c r="E84" s="88">
        <f t="shared" si="6"/>
        <v>2</v>
      </c>
      <c r="F84" s="88">
        <f t="shared" si="6"/>
        <v>3</v>
      </c>
      <c r="G84" s="88">
        <f t="shared" si="6"/>
        <v>4</v>
      </c>
      <c r="H84" s="88">
        <f t="shared" si="6"/>
        <v>5</v>
      </c>
      <c r="I84" s="88">
        <f t="shared" si="6"/>
        <v>6</v>
      </c>
      <c r="J84" s="88">
        <f t="shared" si="6"/>
        <v>7</v>
      </c>
      <c r="K84" s="88">
        <f t="shared" si="6"/>
        <v>8</v>
      </c>
      <c r="L84" s="88">
        <f t="shared" si="6"/>
        <v>9</v>
      </c>
      <c r="M84" s="88">
        <f t="shared" si="6"/>
        <v>10</v>
      </c>
      <c r="N84" s="88">
        <f t="shared" si="6"/>
        <v>11</v>
      </c>
      <c r="O84" s="88">
        <f t="shared" si="6"/>
        <v>12</v>
      </c>
      <c r="P84" s="88">
        <f t="shared" si="6"/>
        <v>13</v>
      </c>
      <c r="Q84" s="88">
        <f t="shared" si="6"/>
        <v>14</v>
      </c>
      <c r="R84" s="88">
        <f t="shared" si="6"/>
        <v>15</v>
      </c>
      <c r="S84" s="88">
        <f t="shared" si="6"/>
        <v>16</v>
      </c>
      <c r="T84" s="88">
        <f t="shared" si="6"/>
        <v>17</v>
      </c>
      <c r="U84" s="88">
        <f t="shared" si="6"/>
        <v>18</v>
      </c>
      <c r="V84" s="88">
        <f t="shared" si="6"/>
        <v>19</v>
      </c>
      <c r="W84" s="88">
        <f t="shared" si="6"/>
        <v>20</v>
      </c>
      <c r="X84" s="88">
        <f t="shared" si="6"/>
        <v>21</v>
      </c>
      <c r="Y84" s="88">
        <f t="shared" si="6"/>
        <v>22</v>
      </c>
    </row>
    <row r="85" spans="2:25" x14ac:dyDescent="0.2">
      <c r="B85" s="84" t="s">
        <v>273</v>
      </c>
      <c r="C85" s="277"/>
      <c r="D85" s="88">
        <f t="shared" ref="D85:Y85" si="7">MAX($C$79,$C$78-D84*$C$80)</f>
        <v>90.276638888888883</v>
      </c>
      <c r="E85" s="88">
        <f t="shared" si="7"/>
        <v>89.787444444444446</v>
      </c>
      <c r="F85" s="88">
        <f t="shared" si="7"/>
        <v>89.298249999999996</v>
      </c>
      <c r="G85" s="88">
        <f t="shared" si="7"/>
        <v>88.80905555555556</v>
      </c>
      <c r="H85" s="88">
        <f t="shared" si="7"/>
        <v>88.319861111111109</v>
      </c>
      <c r="I85" s="88">
        <f t="shared" si="7"/>
        <v>87.830666666666673</v>
      </c>
      <c r="J85" s="88">
        <f t="shared" si="7"/>
        <v>87.341472222222222</v>
      </c>
      <c r="K85" s="88">
        <f t="shared" si="7"/>
        <v>86.852277777777772</v>
      </c>
      <c r="L85" s="88">
        <f t="shared" si="7"/>
        <v>86.363083333333336</v>
      </c>
      <c r="M85" s="88">
        <f t="shared" si="7"/>
        <v>85.873888888888885</v>
      </c>
      <c r="N85" s="88">
        <f t="shared" si="7"/>
        <v>85.384694444444449</v>
      </c>
      <c r="O85" s="88">
        <f t="shared" si="7"/>
        <v>84.895499999999998</v>
      </c>
      <c r="P85" s="88">
        <f t="shared" si="7"/>
        <v>84.406305555555562</v>
      </c>
      <c r="Q85" s="88">
        <f t="shared" si="7"/>
        <v>83.917111111111112</v>
      </c>
      <c r="R85" s="88">
        <f t="shared" si="7"/>
        <v>83.427916666666675</v>
      </c>
      <c r="S85" s="88">
        <f t="shared" si="7"/>
        <v>82.938722222222225</v>
      </c>
      <c r="T85" s="88">
        <f t="shared" si="7"/>
        <v>82.449527777777774</v>
      </c>
      <c r="U85" s="88">
        <f t="shared" si="7"/>
        <v>81.960333333333338</v>
      </c>
      <c r="V85" s="88">
        <f t="shared" si="7"/>
        <v>81.471138888888888</v>
      </c>
      <c r="W85" s="88">
        <f t="shared" si="7"/>
        <v>80.981944444444451</v>
      </c>
      <c r="X85" s="88">
        <f t="shared" si="7"/>
        <v>80.492750000000001</v>
      </c>
      <c r="Y85" s="88">
        <f t="shared" si="7"/>
        <v>80.00355555555555</v>
      </c>
    </row>
    <row r="86" spans="2:25" x14ac:dyDescent="0.2">
      <c r="B86" s="94" t="s">
        <v>274</v>
      </c>
      <c r="C86" s="277"/>
      <c r="D86" s="278">
        <f t="shared" ref="D86:Y86" si="8">1-D85/$C$66</f>
        <v>3.2404727879004391E-2</v>
      </c>
      <c r="E86" s="278">
        <f t="shared" si="8"/>
        <v>3.7647969512921264E-2</v>
      </c>
      <c r="F86" s="278">
        <f t="shared" si="8"/>
        <v>4.2891211146838137E-2</v>
      </c>
      <c r="G86" s="278">
        <f t="shared" si="8"/>
        <v>4.813445278075501E-2</v>
      </c>
      <c r="H86" s="278">
        <f t="shared" si="8"/>
        <v>5.3377694414671883E-2</v>
      </c>
      <c r="I86" s="278">
        <f t="shared" si="8"/>
        <v>5.8620936048588645E-2</v>
      </c>
      <c r="J86" s="278">
        <f t="shared" si="8"/>
        <v>6.386417768250563E-2</v>
      </c>
      <c r="K86" s="278">
        <f t="shared" si="8"/>
        <v>6.9107419316422614E-2</v>
      </c>
      <c r="L86" s="278">
        <f t="shared" si="8"/>
        <v>7.4350660950339376E-2</v>
      </c>
      <c r="M86" s="278">
        <f t="shared" si="8"/>
        <v>7.9593902584256249E-2</v>
      </c>
      <c r="N86" s="278">
        <f t="shared" si="8"/>
        <v>8.4837144218173122E-2</v>
      </c>
      <c r="O86" s="279">
        <f t="shared" si="8"/>
        <v>9.0080385852089995E-2</v>
      </c>
      <c r="P86" s="279">
        <f t="shared" si="8"/>
        <v>9.5323627486006757E-2</v>
      </c>
      <c r="Q86" s="279">
        <f t="shared" si="8"/>
        <v>0.10056686911992374</v>
      </c>
      <c r="R86" s="279">
        <f t="shared" si="8"/>
        <v>0.1058101107538405</v>
      </c>
      <c r="S86" s="279">
        <f t="shared" si="8"/>
        <v>0.11105335238775749</v>
      </c>
      <c r="T86" s="279">
        <f t="shared" si="8"/>
        <v>0.11629659402167447</v>
      </c>
      <c r="U86" s="279">
        <f t="shared" si="8"/>
        <v>0.12153983565559123</v>
      </c>
      <c r="V86" s="279">
        <f t="shared" si="8"/>
        <v>0.12678307728950811</v>
      </c>
      <c r="W86" s="279">
        <f t="shared" si="8"/>
        <v>0.13202631892342498</v>
      </c>
      <c r="X86" s="279">
        <f t="shared" si="8"/>
        <v>0.13726956055734185</v>
      </c>
      <c r="Y86" s="279">
        <f t="shared" si="8"/>
        <v>0.14251280219125884</v>
      </c>
    </row>
    <row r="87" spans="2:25" x14ac:dyDescent="0.25">
      <c r="B87" s="351" t="s">
        <v>275</v>
      </c>
      <c r="C87" s="341"/>
      <c r="D87" s="339"/>
      <c r="E87" s="339"/>
      <c r="F87" s="339"/>
      <c r="G87" s="339"/>
      <c r="H87" s="339"/>
      <c r="I87" s="339"/>
      <c r="J87" s="339"/>
      <c r="K87" s="339"/>
      <c r="L87" s="339"/>
    </row>
    <row r="88" spans="2:25" ht="15.6" customHeight="1" x14ac:dyDescent="0.2">
      <c r="B88" s="350" t="s">
        <v>276</v>
      </c>
      <c r="C88" s="341"/>
      <c r="D88" s="339"/>
      <c r="E88" s="339"/>
      <c r="F88" s="339"/>
      <c r="G88" s="339"/>
      <c r="H88" s="339"/>
      <c r="I88" s="339"/>
      <c r="J88" s="339"/>
      <c r="K88" s="339"/>
      <c r="L88" s="339"/>
    </row>
    <row r="89" spans="2:25" x14ac:dyDescent="0.2">
      <c r="B89" s="87" t="s">
        <v>277</v>
      </c>
      <c r="C89" s="87">
        <f>Assumptions!$D$5</f>
        <v>93.3</v>
      </c>
    </row>
    <row r="90" spans="2:25" x14ac:dyDescent="0.2">
      <c r="B90" s="84" t="s">
        <v>278</v>
      </c>
      <c r="C90" s="89">
        <f>Assumptions!$E$6</f>
        <v>4.1200000000000001E-2</v>
      </c>
    </row>
    <row r="91" spans="2:25" x14ac:dyDescent="0.2">
      <c r="B91" s="84" t="s">
        <v>279</v>
      </c>
      <c r="C91" s="84">
        <f>Assumptions!$E$5</f>
        <v>95.48</v>
      </c>
    </row>
    <row r="92" spans="2:25" x14ac:dyDescent="0.2">
      <c r="B92" s="84" t="s">
        <v>280</v>
      </c>
      <c r="C92" s="84">
        <f>Calculation!I4</f>
        <v>85.835999999999999</v>
      </c>
    </row>
    <row r="93" spans="2:25" x14ac:dyDescent="0.2">
      <c r="B93" s="84" t="s">
        <v>281</v>
      </c>
      <c r="C93" s="84">
        <f>Calculation!I5</f>
        <v>73.707000000000008</v>
      </c>
    </row>
    <row r="94" spans="2:25" x14ac:dyDescent="0.2">
      <c r="B94" s="84" t="s">
        <v>282</v>
      </c>
      <c r="C94" s="90">
        <f>Calculation!I48</f>
        <v>254.28865349256259</v>
      </c>
    </row>
    <row r="95" spans="2:25" x14ac:dyDescent="0.2">
      <c r="B95" s="84" t="s">
        <v>283</v>
      </c>
      <c r="C95" s="84" t="str">
        <f>Input!C5</f>
        <v>Min ZNZ Threshold</v>
      </c>
    </row>
    <row r="96" spans="2:25" x14ac:dyDescent="0.2">
      <c r="B96" s="84" t="s">
        <v>284</v>
      </c>
      <c r="C96" s="84">
        <v>2030</v>
      </c>
    </row>
    <row r="97" spans="2:12" x14ac:dyDescent="0.2">
      <c r="B97" s="84" t="s">
        <v>285</v>
      </c>
      <c r="C97" s="84">
        <f>Input!C6</f>
        <v>19</v>
      </c>
    </row>
    <row r="98" spans="2:12" x14ac:dyDescent="0.2">
      <c r="B98" s="84" t="s">
        <v>286</v>
      </c>
      <c r="C98" s="91">
        <v>3.150976</v>
      </c>
    </row>
    <row r="99" spans="2:12" x14ac:dyDescent="0.2">
      <c r="B99" s="14"/>
      <c r="C99" s="41"/>
    </row>
    <row r="100" spans="2:12" ht="15.6" customHeight="1" x14ac:dyDescent="0.2">
      <c r="B100" s="350" t="s">
        <v>287</v>
      </c>
      <c r="C100" s="341"/>
      <c r="D100" s="339"/>
      <c r="E100" s="339"/>
      <c r="F100" s="339"/>
      <c r="G100" s="339"/>
      <c r="H100" s="339"/>
      <c r="I100" s="339"/>
      <c r="J100" s="339"/>
      <c r="K100" s="339"/>
      <c r="L100" s="339"/>
    </row>
    <row r="101" spans="2:12" x14ac:dyDescent="0.2">
      <c r="B101" s="352" t="s">
        <v>288</v>
      </c>
      <c r="C101" s="341"/>
      <c r="D101" s="339"/>
      <c r="E101" s="339"/>
      <c r="F101" s="339"/>
      <c r="G101" s="339"/>
      <c r="H101" s="339"/>
      <c r="I101" s="339"/>
      <c r="J101" s="339"/>
      <c r="K101" s="339"/>
      <c r="L101" s="339"/>
    </row>
    <row r="102" spans="2:12" x14ac:dyDescent="0.25">
      <c r="B102" s="340" t="s">
        <v>289</v>
      </c>
      <c r="C102" s="341"/>
      <c r="D102" s="336"/>
      <c r="E102" s="335" t="s">
        <v>290</v>
      </c>
      <c r="F102" s="336"/>
      <c r="G102" s="336"/>
      <c r="H102" s="336"/>
      <c r="I102" s="336"/>
      <c r="J102" s="336"/>
      <c r="K102" s="336"/>
      <c r="L102" s="336"/>
    </row>
    <row r="103" spans="2:12" x14ac:dyDescent="0.25">
      <c r="B103" s="340" t="s">
        <v>291</v>
      </c>
      <c r="C103" s="341"/>
      <c r="D103" s="336"/>
      <c r="E103" s="335" t="s">
        <v>292</v>
      </c>
      <c r="F103" s="336"/>
      <c r="G103" s="336"/>
      <c r="H103" s="336"/>
      <c r="I103" s="336"/>
      <c r="J103" s="336"/>
      <c r="K103" s="336"/>
      <c r="L103" s="336"/>
    </row>
    <row r="104" spans="2:12" x14ac:dyDescent="0.2">
      <c r="B104" s="337" t="s">
        <v>293</v>
      </c>
      <c r="C104" s="338"/>
      <c r="D104" s="339"/>
      <c r="E104" s="339"/>
      <c r="F104" s="339"/>
      <c r="G104" s="339"/>
      <c r="H104" s="339"/>
      <c r="I104" s="339"/>
      <c r="J104" s="339"/>
      <c r="K104" s="339"/>
      <c r="L104" s="339"/>
    </row>
    <row r="105" spans="2:12" x14ac:dyDescent="0.25">
      <c r="B105" s="340" t="s">
        <v>294</v>
      </c>
      <c r="C105" s="341"/>
      <c r="D105" s="336"/>
      <c r="E105" s="335" t="s">
        <v>295</v>
      </c>
      <c r="F105" s="336"/>
      <c r="G105" s="336"/>
      <c r="H105" s="336"/>
      <c r="I105" s="336"/>
      <c r="J105" s="336"/>
      <c r="K105" s="336"/>
      <c r="L105" s="336"/>
    </row>
    <row r="106" spans="2:12" x14ac:dyDescent="0.25">
      <c r="B106" s="340" t="s">
        <v>296</v>
      </c>
      <c r="C106" s="341"/>
      <c r="D106" s="336"/>
      <c r="E106" s="335" t="s">
        <v>297</v>
      </c>
      <c r="F106" s="336"/>
      <c r="G106" s="336"/>
      <c r="H106" s="336"/>
      <c r="I106" s="336"/>
      <c r="J106" s="336"/>
      <c r="K106" s="336"/>
      <c r="L106" s="336"/>
    </row>
    <row r="107" spans="2:12" x14ac:dyDescent="0.2">
      <c r="B107" s="337" t="s">
        <v>298</v>
      </c>
      <c r="C107" s="338"/>
      <c r="D107" s="339"/>
      <c r="E107" s="336"/>
      <c r="F107" s="336"/>
      <c r="G107" s="336"/>
      <c r="H107" s="336"/>
      <c r="I107" s="336"/>
      <c r="J107" s="336"/>
      <c r="K107" s="336"/>
      <c r="L107" s="336"/>
    </row>
    <row r="108" spans="2:12" ht="37.5" customHeight="1" x14ac:dyDescent="0.25">
      <c r="B108" s="92" t="s">
        <v>299</v>
      </c>
      <c r="D108" s="7"/>
      <c r="E108" s="58" t="s">
        <v>300</v>
      </c>
      <c r="F108" s="7"/>
      <c r="G108" s="7"/>
      <c r="H108" s="7"/>
      <c r="I108" s="7"/>
      <c r="J108" s="7"/>
      <c r="K108" s="7"/>
      <c r="L108" s="7"/>
    </row>
    <row r="109" spans="2:12" x14ac:dyDescent="0.25">
      <c r="B109" s="340" t="s">
        <v>301</v>
      </c>
      <c r="C109" s="341"/>
      <c r="D109" s="336"/>
      <c r="E109" s="336"/>
      <c r="F109" s="336"/>
      <c r="G109" s="336"/>
      <c r="H109" s="336"/>
      <c r="I109" s="336"/>
      <c r="J109" s="336"/>
      <c r="K109" s="336"/>
      <c r="L109" s="336"/>
    </row>
    <row r="110" spans="2:12" x14ac:dyDescent="0.25">
      <c r="B110" s="340" t="s">
        <v>302</v>
      </c>
      <c r="C110" s="341"/>
      <c r="D110" s="336"/>
      <c r="E110" s="335" t="s">
        <v>303</v>
      </c>
      <c r="F110" s="336"/>
      <c r="G110" s="336"/>
      <c r="H110" s="336"/>
      <c r="I110" s="336"/>
      <c r="J110" s="336"/>
      <c r="K110" s="336"/>
      <c r="L110" s="336"/>
    </row>
    <row r="111" spans="2:12" x14ac:dyDescent="0.25">
      <c r="B111" s="340" t="s">
        <v>304</v>
      </c>
      <c r="C111" s="341"/>
      <c r="D111" s="336"/>
      <c r="E111" s="335" t="s">
        <v>305</v>
      </c>
      <c r="F111" s="336"/>
      <c r="G111" s="336"/>
      <c r="H111" s="336"/>
      <c r="I111" s="336"/>
      <c r="J111" s="336"/>
      <c r="K111" s="336"/>
      <c r="L111" s="336"/>
    </row>
    <row r="112" spans="2:12" x14ac:dyDescent="0.2">
      <c r="B112" s="337" t="s">
        <v>306</v>
      </c>
      <c r="C112" s="338"/>
      <c r="D112" s="339"/>
      <c r="E112" s="339"/>
      <c r="F112" s="339"/>
      <c r="G112" s="339"/>
      <c r="H112" s="339"/>
      <c r="I112" s="339"/>
      <c r="J112" s="339"/>
      <c r="K112" s="339"/>
      <c r="L112" s="339"/>
    </row>
    <row r="113" spans="2:12" x14ac:dyDescent="0.25">
      <c r="B113" s="340" t="s">
        <v>307</v>
      </c>
      <c r="C113" s="341"/>
      <c r="D113" s="336"/>
      <c r="E113" s="335" t="s">
        <v>308</v>
      </c>
      <c r="F113" s="336"/>
      <c r="G113" s="336"/>
      <c r="H113" s="336"/>
      <c r="I113" s="336"/>
      <c r="J113" s="336"/>
      <c r="K113" s="336"/>
      <c r="L113" s="336"/>
    </row>
    <row r="114" spans="2:12" x14ac:dyDescent="0.25">
      <c r="B114" s="340" t="s">
        <v>296</v>
      </c>
      <c r="C114" s="341"/>
      <c r="D114" s="336"/>
      <c r="E114" s="335" t="s">
        <v>309</v>
      </c>
      <c r="F114" s="336"/>
      <c r="G114" s="336"/>
      <c r="H114" s="336"/>
      <c r="I114" s="336"/>
      <c r="J114" s="336"/>
      <c r="K114" s="336"/>
      <c r="L114" s="336"/>
    </row>
    <row r="115" spans="2:12" x14ac:dyDescent="0.2">
      <c r="B115" s="337" t="s">
        <v>310</v>
      </c>
      <c r="C115" s="338"/>
      <c r="D115" s="339"/>
      <c r="E115" s="336"/>
      <c r="F115" s="336"/>
      <c r="G115" s="336"/>
      <c r="H115" s="336"/>
      <c r="I115" s="336"/>
      <c r="J115" s="336"/>
      <c r="K115" s="336"/>
      <c r="L115" s="336"/>
    </row>
    <row r="116" spans="2:12" x14ac:dyDescent="0.25">
      <c r="B116" s="92" t="s">
        <v>311</v>
      </c>
      <c r="D116" s="7"/>
      <c r="E116" s="335" t="s">
        <v>312</v>
      </c>
      <c r="F116" s="336"/>
      <c r="G116" s="336"/>
      <c r="H116" s="336"/>
      <c r="I116" s="336"/>
      <c r="J116" s="336"/>
      <c r="K116" s="336"/>
      <c r="L116" s="336"/>
    </row>
    <row r="117" spans="2:12" x14ac:dyDescent="0.25">
      <c r="B117" s="340" t="s">
        <v>313</v>
      </c>
      <c r="C117" s="341"/>
      <c r="D117" s="336"/>
      <c r="E117" s="336"/>
      <c r="F117" s="336"/>
      <c r="G117" s="336"/>
      <c r="H117" s="336"/>
      <c r="I117" s="336"/>
      <c r="J117" s="336"/>
      <c r="K117" s="336"/>
      <c r="L117" s="336"/>
    </row>
    <row r="118" spans="2:12" x14ac:dyDescent="0.25">
      <c r="B118" s="340" t="s">
        <v>314</v>
      </c>
      <c r="C118" s="341"/>
      <c r="D118" s="336"/>
      <c r="E118" s="335" t="s">
        <v>315</v>
      </c>
      <c r="F118" s="336"/>
      <c r="G118" s="336"/>
      <c r="H118" s="336"/>
      <c r="I118" s="336"/>
      <c r="J118" s="336"/>
      <c r="K118" s="336"/>
      <c r="L118" s="336"/>
    </row>
    <row r="119" spans="2:12" x14ac:dyDescent="0.25">
      <c r="B119" s="340" t="s">
        <v>296</v>
      </c>
      <c r="C119" s="341"/>
      <c r="D119" s="336"/>
      <c r="E119" s="335" t="s">
        <v>316</v>
      </c>
      <c r="F119" s="336"/>
      <c r="G119" s="336"/>
      <c r="H119" s="336"/>
      <c r="I119" s="336"/>
      <c r="J119" s="336"/>
      <c r="K119" s="336"/>
      <c r="L119" s="336"/>
    </row>
    <row r="120" spans="2:12" x14ac:dyDescent="0.2">
      <c r="B120" s="337" t="s">
        <v>317</v>
      </c>
      <c r="C120" s="338"/>
      <c r="D120" s="339"/>
      <c r="E120" s="339"/>
      <c r="F120" s="339"/>
      <c r="G120" s="339"/>
      <c r="H120" s="339"/>
      <c r="I120" s="339"/>
      <c r="J120" s="339"/>
      <c r="K120" s="339"/>
      <c r="L120" s="339"/>
    </row>
    <row r="121" spans="2:12" x14ac:dyDescent="0.25">
      <c r="B121" s="340" t="s">
        <v>318</v>
      </c>
      <c r="C121" s="341"/>
      <c r="D121" s="336"/>
      <c r="E121" s="335" t="s">
        <v>319</v>
      </c>
      <c r="F121" s="336"/>
      <c r="G121" s="336"/>
      <c r="H121" s="336"/>
      <c r="I121" s="336"/>
      <c r="J121" s="336"/>
      <c r="K121" s="336"/>
      <c r="L121" s="336"/>
    </row>
    <row r="122" spans="2:12" x14ac:dyDescent="0.25">
      <c r="B122" s="340" t="s">
        <v>296</v>
      </c>
      <c r="C122" s="341"/>
      <c r="D122" s="336"/>
      <c r="E122" s="335" t="s">
        <v>320</v>
      </c>
      <c r="F122" s="336"/>
      <c r="G122" s="336"/>
      <c r="H122" s="336"/>
      <c r="I122" s="336"/>
      <c r="J122" s="336"/>
      <c r="K122" s="336"/>
      <c r="L122" s="336"/>
    </row>
    <row r="123" spans="2:12" x14ac:dyDescent="0.2">
      <c r="B123" s="337" t="s">
        <v>321</v>
      </c>
      <c r="C123" s="338"/>
      <c r="D123" s="339"/>
      <c r="E123" s="339"/>
      <c r="F123" s="339"/>
      <c r="G123" s="339"/>
      <c r="H123" s="339"/>
      <c r="I123" s="339"/>
      <c r="J123" s="339"/>
      <c r="K123" s="339"/>
      <c r="L123" s="339"/>
    </row>
    <row r="124" spans="2:12" x14ac:dyDescent="0.25">
      <c r="B124" s="340" t="s">
        <v>322</v>
      </c>
      <c r="C124" s="341"/>
      <c r="D124" s="336"/>
      <c r="E124" s="335" t="s">
        <v>323</v>
      </c>
      <c r="F124" s="336"/>
      <c r="G124" s="336"/>
      <c r="H124" s="336"/>
      <c r="I124" s="336"/>
      <c r="J124" s="336"/>
      <c r="K124" s="336"/>
      <c r="L124" s="336"/>
    </row>
    <row r="125" spans="2:12" x14ac:dyDescent="0.25">
      <c r="B125" s="340" t="s">
        <v>324</v>
      </c>
      <c r="C125" s="341"/>
      <c r="D125" s="336"/>
      <c r="E125" s="335" t="s">
        <v>325</v>
      </c>
      <c r="F125" s="336"/>
      <c r="G125" s="336"/>
      <c r="H125" s="336"/>
      <c r="I125" s="336"/>
      <c r="J125" s="336"/>
      <c r="K125" s="336"/>
      <c r="L125" s="336"/>
    </row>
    <row r="126" spans="2:12" x14ac:dyDescent="0.25">
      <c r="B126" s="92" t="s">
        <v>326</v>
      </c>
      <c r="D126" s="7"/>
      <c r="E126" s="335" t="s">
        <v>327</v>
      </c>
      <c r="F126" s="336"/>
      <c r="G126" s="336"/>
      <c r="H126" s="336"/>
      <c r="I126" s="336"/>
      <c r="J126" s="336"/>
      <c r="K126" s="336"/>
      <c r="L126" s="336"/>
    </row>
    <row r="127" spans="2:12" x14ac:dyDescent="0.25">
      <c r="B127" s="340" t="s">
        <v>296</v>
      </c>
      <c r="C127" s="341"/>
      <c r="D127" s="336"/>
      <c r="E127" s="336"/>
      <c r="F127" s="336"/>
      <c r="G127" s="336"/>
      <c r="H127" s="336"/>
      <c r="I127" s="336"/>
      <c r="J127" s="336"/>
      <c r="K127" s="336"/>
      <c r="L127" s="336"/>
    </row>
    <row r="128" spans="2:12" x14ac:dyDescent="0.2">
      <c r="B128" s="337" t="s">
        <v>328</v>
      </c>
      <c r="C128" s="338"/>
      <c r="D128" s="339"/>
      <c r="E128" s="336"/>
      <c r="F128" s="336"/>
      <c r="G128" s="336"/>
      <c r="H128" s="336"/>
      <c r="I128" s="336"/>
      <c r="J128" s="336"/>
      <c r="K128" s="336"/>
      <c r="L128" s="336"/>
    </row>
    <row r="129" spans="2:12" ht="25.5" x14ac:dyDescent="0.25">
      <c r="B129" s="92" t="s">
        <v>329</v>
      </c>
      <c r="D129" s="7"/>
      <c r="E129" s="335" t="s">
        <v>330</v>
      </c>
      <c r="F129" s="336"/>
      <c r="G129" s="336"/>
      <c r="H129" s="336"/>
      <c r="I129" s="336"/>
      <c r="J129" s="336"/>
      <c r="K129" s="336"/>
      <c r="L129" s="336"/>
    </row>
    <row r="130" spans="2:12" x14ac:dyDescent="0.25">
      <c r="B130" s="340" t="s">
        <v>331</v>
      </c>
      <c r="C130" s="341"/>
      <c r="D130" s="336"/>
      <c r="E130" s="336"/>
      <c r="F130" s="336"/>
      <c r="G130" s="336"/>
      <c r="H130" s="336"/>
      <c r="I130" s="336"/>
      <c r="J130" s="336"/>
      <c r="K130" s="336"/>
      <c r="L130" s="336"/>
    </row>
    <row r="131" spans="2:12" x14ac:dyDescent="0.2">
      <c r="B131" s="337" t="s">
        <v>332</v>
      </c>
      <c r="C131" s="338"/>
      <c r="D131" s="339"/>
      <c r="E131" s="336"/>
      <c r="F131" s="336"/>
      <c r="G131" s="336"/>
      <c r="H131" s="336"/>
      <c r="I131" s="336"/>
      <c r="J131" s="336"/>
      <c r="K131" s="336"/>
      <c r="L131" s="336"/>
    </row>
    <row r="132" spans="2:12" ht="25.5" x14ac:dyDescent="0.25">
      <c r="B132" s="92" t="s">
        <v>333</v>
      </c>
      <c r="D132" s="7"/>
      <c r="E132" s="335" t="s">
        <v>334</v>
      </c>
      <c r="F132" s="336"/>
      <c r="G132" s="336"/>
      <c r="H132" s="336"/>
      <c r="I132" s="336"/>
      <c r="J132" s="336"/>
      <c r="K132" s="336"/>
      <c r="L132" s="336"/>
    </row>
    <row r="133" spans="2:12" x14ac:dyDescent="0.25">
      <c r="B133" s="92" t="s">
        <v>335</v>
      </c>
      <c r="D133" s="7"/>
      <c r="E133" s="335" t="s">
        <v>336</v>
      </c>
      <c r="F133" s="336"/>
      <c r="G133" s="336"/>
      <c r="H133" s="336"/>
      <c r="I133" s="336"/>
      <c r="J133" s="336"/>
      <c r="K133" s="336"/>
      <c r="L133" s="336"/>
    </row>
    <row r="134" spans="2:12" x14ac:dyDescent="0.2">
      <c r="B134" s="93" t="s">
        <v>337</v>
      </c>
      <c r="D134" s="7"/>
      <c r="E134" s="7"/>
      <c r="F134" s="7"/>
      <c r="G134" s="7"/>
      <c r="H134" s="7"/>
      <c r="I134" s="7"/>
      <c r="J134" s="7"/>
      <c r="K134" s="7"/>
      <c r="L134" s="7"/>
    </row>
    <row r="135" spans="2:12" x14ac:dyDescent="0.25">
      <c r="B135" s="92" t="s">
        <v>338</v>
      </c>
      <c r="D135" s="7"/>
      <c r="E135" s="335" t="s">
        <v>339</v>
      </c>
      <c r="F135" s="336"/>
      <c r="G135" s="336"/>
      <c r="H135" s="336"/>
      <c r="I135" s="336"/>
      <c r="J135" s="336"/>
      <c r="K135" s="336"/>
      <c r="L135" s="336"/>
    </row>
    <row r="136" spans="2:12" x14ac:dyDescent="0.25">
      <c r="B136" s="92" t="s">
        <v>340</v>
      </c>
      <c r="D136" s="7"/>
      <c r="E136" s="335" t="s">
        <v>341</v>
      </c>
      <c r="F136" s="336"/>
      <c r="G136" s="336"/>
      <c r="H136" s="336"/>
      <c r="I136" s="336"/>
      <c r="J136" s="336"/>
      <c r="K136" s="336"/>
      <c r="L136" s="336"/>
    </row>
    <row r="137" spans="2:12" x14ac:dyDescent="0.2">
      <c r="B137" s="93" t="s">
        <v>342</v>
      </c>
      <c r="D137" s="7"/>
      <c r="E137" s="7"/>
      <c r="F137" s="7"/>
      <c r="G137" s="7"/>
      <c r="H137" s="7"/>
      <c r="I137" s="7"/>
      <c r="J137" s="7"/>
      <c r="K137" s="7"/>
      <c r="L137" s="7"/>
    </row>
    <row r="138" spans="2:12" x14ac:dyDescent="0.25">
      <c r="B138" s="92" t="s">
        <v>338</v>
      </c>
      <c r="D138" s="7"/>
      <c r="E138" s="335" t="s">
        <v>343</v>
      </c>
      <c r="F138" s="336"/>
      <c r="G138" s="336"/>
      <c r="H138" s="336"/>
      <c r="I138" s="336"/>
      <c r="J138" s="336"/>
      <c r="K138" s="336"/>
      <c r="L138" s="336"/>
    </row>
    <row r="139" spans="2:12" x14ac:dyDescent="0.25">
      <c r="B139" s="92" t="s">
        <v>340</v>
      </c>
      <c r="D139" s="7"/>
      <c r="E139" s="335" t="s">
        <v>341</v>
      </c>
      <c r="F139" s="336"/>
      <c r="G139" s="336"/>
      <c r="H139" s="336"/>
      <c r="I139" s="336"/>
      <c r="J139" s="336"/>
      <c r="K139" s="336"/>
      <c r="L139" s="336"/>
    </row>
    <row r="140" spans="2:12" x14ac:dyDescent="0.2">
      <c r="B140" s="93" t="s">
        <v>344</v>
      </c>
      <c r="D140" s="7"/>
      <c r="E140" s="7"/>
      <c r="F140" s="7"/>
      <c r="G140" s="7"/>
      <c r="H140" s="7"/>
      <c r="I140" s="7"/>
      <c r="J140" s="7"/>
      <c r="K140" s="7"/>
      <c r="L140" s="7"/>
    </row>
    <row r="141" spans="2:12" x14ac:dyDescent="0.25">
      <c r="B141" s="92" t="s">
        <v>338</v>
      </c>
      <c r="D141" s="7"/>
      <c r="E141" s="335" t="s">
        <v>345</v>
      </c>
      <c r="F141" s="336"/>
      <c r="G141" s="336"/>
      <c r="H141" s="336"/>
      <c r="I141" s="336"/>
      <c r="J141" s="336"/>
      <c r="K141" s="336"/>
      <c r="L141" s="336"/>
    </row>
    <row r="142" spans="2:12" x14ac:dyDescent="0.25">
      <c r="B142" s="92" t="s">
        <v>340</v>
      </c>
      <c r="D142" s="7"/>
      <c r="E142" s="335" t="s">
        <v>341</v>
      </c>
      <c r="F142" s="336"/>
      <c r="G142" s="336"/>
      <c r="H142" s="336"/>
      <c r="I142" s="336"/>
      <c r="J142" s="336"/>
      <c r="K142" s="336"/>
      <c r="L142" s="336"/>
    </row>
  </sheetData>
  <mergeCells count="72">
    <mergeCell ref="B128:D128"/>
    <mergeCell ref="E128:L128"/>
    <mergeCell ref="E126:L126"/>
    <mergeCell ref="B124:D124"/>
    <mergeCell ref="E124:L124"/>
    <mergeCell ref="B125:D125"/>
    <mergeCell ref="E125:L125"/>
    <mergeCell ref="B127:L127"/>
    <mergeCell ref="B121:D121"/>
    <mergeCell ref="E121:L121"/>
    <mergeCell ref="B122:D122"/>
    <mergeCell ref="E122:L122"/>
    <mergeCell ref="B123:L123"/>
    <mergeCell ref="B115:D115"/>
    <mergeCell ref="E115:L115"/>
    <mergeCell ref="B117:L117"/>
    <mergeCell ref="B118:D118"/>
    <mergeCell ref="E118:L118"/>
    <mergeCell ref="B112:L112"/>
    <mergeCell ref="B113:D113"/>
    <mergeCell ref="E113:L113"/>
    <mergeCell ref="B114:D114"/>
    <mergeCell ref="E114:L114"/>
    <mergeCell ref="B111:D111"/>
    <mergeCell ref="E111:L111"/>
    <mergeCell ref="B103:D103"/>
    <mergeCell ref="E103:L103"/>
    <mergeCell ref="B104:L104"/>
    <mergeCell ref="B105:D105"/>
    <mergeCell ref="E105:L105"/>
    <mergeCell ref="B106:D106"/>
    <mergeCell ref="E106:L106"/>
    <mergeCell ref="B107:D107"/>
    <mergeCell ref="E107:L107"/>
    <mergeCell ref="B109:L109"/>
    <mergeCell ref="B110:D110"/>
    <mergeCell ref="E110:L110"/>
    <mergeCell ref="B102:D102"/>
    <mergeCell ref="E102:L102"/>
    <mergeCell ref="B30:L30"/>
    <mergeCell ref="B45:L45"/>
    <mergeCell ref="B59:L59"/>
    <mergeCell ref="B60:L60"/>
    <mergeCell ref="B67:L67"/>
    <mergeCell ref="B77:L77"/>
    <mergeCell ref="B82:L82"/>
    <mergeCell ref="B87:L87"/>
    <mergeCell ref="B88:L88"/>
    <mergeCell ref="B100:L100"/>
    <mergeCell ref="B101:L101"/>
    <mergeCell ref="B29:L29"/>
    <mergeCell ref="B2:K2"/>
    <mergeCell ref="F7:G7"/>
    <mergeCell ref="H7:J7"/>
    <mergeCell ref="B10:K10"/>
    <mergeCell ref="B28:L28"/>
    <mergeCell ref="E138:L138"/>
    <mergeCell ref="E139:L139"/>
    <mergeCell ref="E141:L141"/>
    <mergeCell ref="E142:L142"/>
    <mergeCell ref="E116:L116"/>
    <mergeCell ref="E129:L129"/>
    <mergeCell ref="E132:L132"/>
    <mergeCell ref="E133:L133"/>
    <mergeCell ref="E135:L135"/>
    <mergeCell ref="E136:L136"/>
    <mergeCell ref="B120:L120"/>
    <mergeCell ref="B119:D119"/>
    <mergeCell ref="E119:L119"/>
    <mergeCell ref="B131:D131"/>
    <mergeCell ref="E131:L131"/>
    <mergeCell ref="B130:L130"/>
  </mergeCells>
  <hyperlinks>
    <hyperlink ref="C32:C37" r:id="rId1" display="IMO Comprehensive Impact Assessment" xr:uid="{BBADCA4F-1661-4837-88AA-AC5C5B2F73C4}"/>
    <hyperlink ref="E11" r:id="rId2" display="https://wwwcdn.imo.org/localresources/en/OurWork/Environment/Documents/annex/MEPC 81/Annex 10.pdf" xr:uid="{B24070F9-9FED-4959-8BDB-F98C0210C1C6}"/>
    <hyperlink ref="F11" r:id="rId3" display="https://wwwcdn.imo.org/localresources/en/OurWork/Environment/Documents/annex/MEPC 81/Annex 10.pdf" xr:uid="{62B66AA8-D28A-4812-850E-634E2EC2AF5C}"/>
    <hyperlink ref="C22" r:id="rId4" xr:uid="{719CC920-9D1B-47F6-96E0-05F40342CD1B}"/>
    <hyperlink ref="C21" r:id="rId5" xr:uid="{7FC7B7BF-A550-4D36-908A-AB28DC1B3709}"/>
    <hyperlink ref="C23" r:id="rId6" xr:uid="{6D47959A-AB07-4865-A83B-5821BC9D6593}"/>
    <hyperlink ref="C24" r:id="rId7" xr:uid="{AD90C812-6B29-4F93-9485-066A7D05CB94}"/>
    <hyperlink ref="C25:C27" r:id="rId8" display="IMO Comprehensive Impact Assessment" xr:uid="{FDF598BC-2793-49DD-BB84-21BE2B134103}"/>
  </hyperlink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7771-7F16-44BA-87C2-DEEA21F4AD95}">
  <sheetPr>
    <tabColor rgb="FFBFBFBF"/>
  </sheetPr>
  <dimension ref="B1:N92"/>
  <sheetViews>
    <sheetView zoomScale="81" zoomScaleNormal="108" workbookViewId="0">
      <pane xSplit="3" ySplit="6" topLeftCell="D7" activePane="bottomRight" state="frozen"/>
      <selection pane="topRight" activeCell="C156" sqref="C156"/>
      <selection pane="bottomLeft" activeCell="C156" sqref="C156"/>
      <selection pane="bottomRight" activeCell="B1" sqref="B1:K1"/>
    </sheetView>
  </sheetViews>
  <sheetFormatPr defaultColWidth="8.5703125" defaultRowHeight="12.75" x14ac:dyDescent="0.2"/>
  <cols>
    <col min="1" max="1" width="2" style="126" customWidth="1"/>
    <col min="2" max="2" width="48.28515625" style="126" customWidth="1"/>
    <col min="3" max="14" width="19.5703125" style="126" customWidth="1"/>
    <col min="15" max="16384" width="8.5703125" style="126"/>
  </cols>
  <sheetData>
    <row r="1" spans="2:11" ht="17.25" customHeight="1" x14ac:dyDescent="0.2">
      <c r="B1" s="355" t="s">
        <v>346</v>
      </c>
      <c r="C1" s="354"/>
      <c r="D1" s="354"/>
      <c r="E1" s="354"/>
      <c r="F1" s="354"/>
      <c r="G1" s="354"/>
      <c r="H1" s="354"/>
      <c r="I1" s="354"/>
      <c r="J1" s="354"/>
      <c r="K1" s="354"/>
    </row>
    <row r="3" spans="2:11" ht="15" customHeight="1" x14ac:dyDescent="0.2">
      <c r="B3" s="127" t="s">
        <v>347</v>
      </c>
      <c r="C3" s="126" t="str">
        <f>Overview!C20</f>
        <v>NZF as-is</v>
      </c>
      <c r="D3" s="356"/>
      <c r="E3" s="354"/>
      <c r="F3" s="354"/>
      <c r="G3" s="354"/>
      <c r="H3" s="354"/>
      <c r="I3" s="354"/>
      <c r="J3" s="354"/>
      <c r="K3" s="354"/>
    </row>
    <row r="5" spans="2:11" ht="15" customHeight="1" x14ac:dyDescent="0.2">
      <c r="B5" s="128" t="s">
        <v>348</v>
      </c>
      <c r="D5" s="128" t="s">
        <v>101</v>
      </c>
      <c r="E5" s="128" t="s">
        <v>102</v>
      </c>
      <c r="F5" s="128" t="s">
        <v>103</v>
      </c>
      <c r="G5" s="128" t="s">
        <v>208</v>
      </c>
    </row>
    <row r="6" spans="2:11" ht="49.5" customHeight="1" x14ac:dyDescent="0.2">
      <c r="B6" s="129" t="s">
        <v>182</v>
      </c>
      <c r="C6" s="129" t="s">
        <v>349</v>
      </c>
      <c r="D6" s="129" t="s">
        <v>13</v>
      </c>
      <c r="E6" s="129" t="s">
        <v>15</v>
      </c>
      <c r="F6" s="129" t="s">
        <v>17</v>
      </c>
      <c r="G6" s="129" t="s">
        <v>19</v>
      </c>
      <c r="H6" s="129" t="s">
        <v>350</v>
      </c>
    </row>
    <row r="7" spans="2:11" ht="15" customHeight="1" x14ac:dyDescent="0.2">
      <c r="B7" s="350" t="s">
        <v>351</v>
      </c>
      <c r="C7" s="354"/>
      <c r="D7" s="354"/>
      <c r="E7" s="354"/>
      <c r="F7" s="354"/>
      <c r="G7" s="354"/>
      <c r="H7" s="354"/>
      <c r="I7" s="354"/>
      <c r="J7" s="354"/>
    </row>
    <row r="8" spans="2:11" ht="15" customHeight="1" x14ac:dyDescent="0.2">
      <c r="B8" s="8" t="s">
        <v>352</v>
      </c>
      <c r="C8" s="45" t="s">
        <v>353</v>
      </c>
      <c r="D8" s="8" t="s">
        <v>354</v>
      </c>
      <c r="E8" s="8" t="s">
        <v>354</v>
      </c>
      <c r="F8" s="8" t="s">
        <v>354</v>
      </c>
      <c r="G8" s="8" t="s">
        <v>355</v>
      </c>
      <c r="H8" s="46" t="str">
        <f>INDEX(D8:G8, MATCH($C$3, $D$5:$G$5, 0))</f>
        <v>FuelStd+Pricing</v>
      </c>
    </row>
    <row r="9" spans="2:11" ht="15" customHeight="1" x14ac:dyDescent="0.2">
      <c r="B9" s="8" t="s">
        <v>356</v>
      </c>
      <c r="C9" s="45" t="s">
        <v>357</v>
      </c>
      <c r="D9" s="8" t="s">
        <v>92</v>
      </c>
      <c r="E9" s="8" t="s">
        <v>92</v>
      </c>
      <c r="F9" s="8" t="s">
        <v>92</v>
      </c>
      <c r="G9" s="8" t="s">
        <v>94</v>
      </c>
      <c r="H9" s="46" t="str">
        <f>INDEX(D9:G9, MATCH($C$3, $D$5:$G$5, 0))</f>
        <v>Yes</v>
      </c>
    </row>
    <row r="10" spans="2:11" ht="15" customHeight="1" x14ac:dyDescent="0.2">
      <c r="B10" s="8" t="s">
        <v>358</v>
      </c>
      <c r="C10" s="45" t="s">
        <v>359</v>
      </c>
      <c r="D10" s="8" t="s">
        <v>94</v>
      </c>
      <c r="E10" s="8" t="s">
        <v>94</v>
      </c>
      <c r="F10" s="8" t="s">
        <v>94</v>
      </c>
      <c r="G10" s="111" t="s">
        <v>94</v>
      </c>
      <c r="H10" s="46" t="str">
        <f>INDEX(D10:G10, MATCH($C$3, $D$5:$G$5, 0))</f>
        <v>No</v>
      </c>
    </row>
    <row r="11" spans="2:11" ht="15" customHeight="1" x14ac:dyDescent="0.2">
      <c r="B11" s="8" t="s">
        <v>360</v>
      </c>
      <c r="C11" s="45" t="s">
        <v>361</v>
      </c>
      <c r="D11" s="8" t="s">
        <v>92</v>
      </c>
      <c r="E11" s="8" t="s">
        <v>92</v>
      </c>
      <c r="F11" s="8" t="s">
        <v>94</v>
      </c>
      <c r="G11" s="8" t="s">
        <v>92</v>
      </c>
      <c r="H11" s="46" t="str">
        <f>INDEX(D11:G11, MATCH($C$3, $D$5:$G$5, 0))</f>
        <v>Yes</v>
      </c>
    </row>
    <row r="12" spans="2:11" ht="15" customHeight="1" x14ac:dyDescent="0.2">
      <c r="B12" s="8" t="s">
        <v>362</v>
      </c>
      <c r="C12" s="45" t="s">
        <v>363</v>
      </c>
      <c r="D12" s="8" t="s">
        <v>94</v>
      </c>
      <c r="E12" s="8" t="s">
        <v>94</v>
      </c>
      <c r="F12" s="8" t="s">
        <v>94</v>
      </c>
      <c r="G12" s="8" t="s">
        <v>92</v>
      </c>
      <c r="H12" s="46" t="str">
        <f>INDEX(D12:G12, MATCH($C$3, $D$5:$G$5, 0))</f>
        <v>No</v>
      </c>
    </row>
    <row r="13" spans="2:11" ht="15" customHeight="1" x14ac:dyDescent="0.2">
      <c r="B13" s="350" t="s">
        <v>364</v>
      </c>
      <c r="C13" s="354"/>
      <c r="D13" s="354"/>
      <c r="E13" s="354"/>
      <c r="F13" s="354"/>
      <c r="G13" s="354"/>
      <c r="H13" s="354"/>
      <c r="I13" s="354"/>
      <c r="J13" s="354"/>
    </row>
    <row r="14" spans="2:11" ht="15" customHeight="1" x14ac:dyDescent="0.2">
      <c r="B14" s="8" t="s">
        <v>365</v>
      </c>
      <c r="C14" s="45" t="s">
        <v>366</v>
      </c>
      <c r="D14" s="8">
        <f>Input!C38</f>
        <v>380</v>
      </c>
      <c r="E14" s="8">
        <f>Input!C39</f>
        <v>380</v>
      </c>
      <c r="F14" s="8">
        <f>Input!C40</f>
        <v>380</v>
      </c>
      <c r="G14" s="9">
        <f>MAX(0,(Assumptions!E70-Assumptions!E69)/((Assumptions!C69-Assumptions!C70)/1000))</f>
        <v>0</v>
      </c>
      <c r="H14" s="46">
        <f>INDEX(D14:G14, MATCH($C$3, $D$5:$G$5, 0))</f>
        <v>380</v>
      </c>
    </row>
    <row r="15" spans="2:11" ht="15" customHeight="1" x14ac:dyDescent="0.2">
      <c r="B15" s="8" t="s">
        <v>367</v>
      </c>
      <c r="C15" s="45" t="s">
        <v>368</v>
      </c>
      <c r="D15" s="8">
        <f>Input!D38</f>
        <v>100</v>
      </c>
      <c r="E15" s="8">
        <f>Input!D39</f>
        <v>100</v>
      </c>
      <c r="F15" s="8">
        <f>Input!D40</f>
        <v>300</v>
      </c>
      <c r="G15" s="9">
        <f>G14</f>
        <v>0</v>
      </c>
      <c r="H15" s="46">
        <f>INDEX(D15:G15, MATCH($C$3, $D$5:$G$5, 0))</f>
        <v>100</v>
      </c>
    </row>
    <row r="16" spans="2:11" ht="15" customHeight="1" x14ac:dyDescent="0.2">
      <c r="B16" s="350" t="s">
        <v>369</v>
      </c>
      <c r="C16" s="354"/>
      <c r="D16" s="354"/>
      <c r="E16" s="354"/>
      <c r="F16" s="354"/>
      <c r="G16" s="354"/>
      <c r="H16" s="354"/>
      <c r="I16" s="354"/>
      <c r="J16" s="354"/>
    </row>
    <row r="17" spans="2:10" ht="15" customHeight="1" x14ac:dyDescent="0.2">
      <c r="B17" s="8" t="s">
        <v>370</v>
      </c>
      <c r="C17" s="45" t="s">
        <v>371</v>
      </c>
      <c r="D17" s="112">
        <v>0.06</v>
      </c>
      <c r="E17" s="112">
        <v>0.03</v>
      </c>
      <c r="F17" s="113">
        <v>0.06</v>
      </c>
      <c r="G17" s="47">
        <f>Assumptions!D86</f>
        <v>3.2404727879004391E-2</v>
      </c>
      <c r="H17" s="48">
        <f t="shared" ref="H17:H28" si="0">INDEX(D17:G17, MATCH($C$3, $D$5:$G$5, 0))</f>
        <v>0.06</v>
      </c>
    </row>
    <row r="18" spans="2:10" ht="15" customHeight="1" x14ac:dyDescent="0.2">
      <c r="B18" s="8" t="s">
        <v>372</v>
      </c>
      <c r="C18" s="45" t="s">
        <v>373</v>
      </c>
      <c r="D18" s="112">
        <v>0.08</v>
      </c>
      <c r="E18" s="112">
        <v>0.04</v>
      </c>
      <c r="F18" s="113">
        <v>0.08</v>
      </c>
      <c r="G18" s="47">
        <f>Assumptions!E86</f>
        <v>3.7647969512921264E-2</v>
      </c>
      <c r="H18" s="48">
        <f t="shared" si="0"/>
        <v>0.08</v>
      </c>
    </row>
    <row r="19" spans="2:10" ht="15" customHeight="1" x14ac:dyDescent="0.2">
      <c r="B19" s="8" t="s">
        <v>374</v>
      </c>
      <c r="C19" s="45" t="s">
        <v>375</v>
      </c>
      <c r="D19" s="112">
        <v>0.124</v>
      </c>
      <c r="E19" s="112">
        <v>0.06</v>
      </c>
      <c r="F19" s="113">
        <v>0.124</v>
      </c>
      <c r="G19" s="47">
        <f>Assumptions!F86</f>
        <v>4.2891211146838137E-2</v>
      </c>
      <c r="H19" s="48">
        <f t="shared" si="0"/>
        <v>0.124</v>
      </c>
    </row>
    <row r="20" spans="2:10" ht="15" customHeight="1" x14ac:dyDescent="0.2">
      <c r="B20" s="8" t="s">
        <v>376</v>
      </c>
      <c r="C20" s="45" t="s">
        <v>377</v>
      </c>
      <c r="D20" s="112">
        <v>0.16800000000000001</v>
      </c>
      <c r="E20" s="112">
        <v>0.08</v>
      </c>
      <c r="F20" s="113">
        <v>0.16800000000000001</v>
      </c>
      <c r="G20" s="47">
        <f>Assumptions!G86</f>
        <v>4.813445278075501E-2</v>
      </c>
      <c r="H20" s="48">
        <f t="shared" si="0"/>
        <v>0.16800000000000001</v>
      </c>
    </row>
    <row r="21" spans="2:10" ht="15" customHeight="1" x14ac:dyDescent="0.2">
      <c r="B21" s="8" t="s">
        <v>378</v>
      </c>
      <c r="C21" s="45" t="s">
        <v>379</v>
      </c>
      <c r="D21" s="112">
        <v>0.21199999999999999</v>
      </c>
      <c r="E21" s="112">
        <v>0.124</v>
      </c>
      <c r="F21" s="113">
        <v>0.21199999999999999</v>
      </c>
      <c r="G21" s="47">
        <f>Assumptions!H86</f>
        <v>5.3377694414671883E-2</v>
      </c>
      <c r="H21" s="48">
        <f t="shared" si="0"/>
        <v>0.21199999999999999</v>
      </c>
    </row>
    <row r="22" spans="2:10" ht="15" customHeight="1" x14ac:dyDescent="0.2">
      <c r="B22" s="8" t="s">
        <v>380</v>
      </c>
      <c r="C22" s="45" t="s">
        <v>381</v>
      </c>
      <c r="D22" s="112">
        <v>0.25600000000000001</v>
      </c>
      <c r="E22" s="112">
        <v>0.16800000000000001</v>
      </c>
      <c r="F22" s="113">
        <v>0.25600000000000001</v>
      </c>
      <c r="G22" s="47">
        <f>Assumptions!I86</f>
        <v>5.8620936048588645E-2</v>
      </c>
      <c r="H22" s="48">
        <f t="shared" si="0"/>
        <v>0.25600000000000001</v>
      </c>
    </row>
    <row r="23" spans="2:10" ht="15" customHeight="1" x14ac:dyDescent="0.2">
      <c r="B23" s="8" t="s">
        <v>382</v>
      </c>
      <c r="C23" s="45" t="s">
        <v>383</v>
      </c>
      <c r="D23" s="112">
        <v>0.3</v>
      </c>
      <c r="E23" s="112">
        <v>0.21199999999999999</v>
      </c>
      <c r="F23" s="113">
        <v>0.3</v>
      </c>
      <c r="G23" s="47">
        <f>Assumptions!J86</f>
        <v>6.386417768250563E-2</v>
      </c>
      <c r="H23" s="48">
        <f t="shared" si="0"/>
        <v>0.3</v>
      </c>
    </row>
    <row r="24" spans="2:10" ht="15" customHeight="1" x14ac:dyDescent="0.2">
      <c r="B24" s="8" t="s">
        <v>384</v>
      </c>
      <c r="C24" s="45" t="s">
        <v>385</v>
      </c>
      <c r="D24" s="112">
        <v>0.37</v>
      </c>
      <c r="E24" s="112">
        <v>0.25600000000000001</v>
      </c>
      <c r="F24" s="113">
        <v>0.37</v>
      </c>
      <c r="G24" s="47">
        <f>Assumptions!K86</f>
        <v>6.9107419316422614E-2</v>
      </c>
      <c r="H24" s="48">
        <f t="shared" si="0"/>
        <v>0.37</v>
      </c>
    </row>
    <row r="25" spans="2:10" ht="15" customHeight="1" x14ac:dyDescent="0.2">
      <c r="B25" s="8" t="s">
        <v>386</v>
      </c>
      <c r="C25" s="45" t="s">
        <v>387</v>
      </c>
      <c r="D25" s="112">
        <v>0.44</v>
      </c>
      <c r="E25" s="112">
        <v>0.3448</v>
      </c>
      <c r="F25" s="113">
        <v>0.44</v>
      </c>
      <c r="G25" s="47">
        <f>Assumptions!L86</f>
        <v>7.4350660950339376E-2</v>
      </c>
      <c r="H25" s="48">
        <f t="shared" si="0"/>
        <v>0.44</v>
      </c>
    </row>
    <row r="26" spans="2:10" ht="15" customHeight="1" x14ac:dyDescent="0.2">
      <c r="B26" s="8" t="s">
        <v>388</v>
      </c>
      <c r="C26" s="45" t="s">
        <v>389</v>
      </c>
      <c r="D26" s="112">
        <v>0.51</v>
      </c>
      <c r="E26" s="112">
        <v>0.43359999999999999</v>
      </c>
      <c r="F26" s="113">
        <v>0.51</v>
      </c>
      <c r="G26" s="47">
        <f>Assumptions!M86</f>
        <v>7.9593902584256249E-2</v>
      </c>
      <c r="H26" s="48">
        <f t="shared" si="0"/>
        <v>0.51</v>
      </c>
    </row>
    <row r="27" spans="2:10" ht="15" customHeight="1" x14ac:dyDescent="0.2">
      <c r="B27" s="8" t="s">
        <v>390</v>
      </c>
      <c r="C27" s="45" t="s">
        <v>391</v>
      </c>
      <c r="D27" s="112">
        <v>0.57999999999999996</v>
      </c>
      <c r="E27" s="112">
        <v>0.52239999999999998</v>
      </c>
      <c r="F27" s="113">
        <v>0.57999999999999996</v>
      </c>
      <c r="G27" s="47">
        <f>Assumptions!N86</f>
        <v>8.4837144218173122E-2</v>
      </c>
      <c r="H27" s="48">
        <f t="shared" si="0"/>
        <v>0.57999999999999996</v>
      </c>
    </row>
    <row r="28" spans="2:10" ht="15" customHeight="1" x14ac:dyDescent="0.2">
      <c r="B28" s="8" t="s">
        <v>392</v>
      </c>
      <c r="C28" s="45" t="s">
        <v>393</v>
      </c>
      <c r="D28" s="112">
        <v>0.65</v>
      </c>
      <c r="E28" s="112">
        <v>0.61119999999999997</v>
      </c>
      <c r="F28" s="113">
        <v>0.65</v>
      </c>
      <c r="G28" s="47">
        <f>Assumptions!O86</f>
        <v>9.0080385852089995E-2</v>
      </c>
      <c r="H28" s="48">
        <f t="shared" si="0"/>
        <v>0.65</v>
      </c>
    </row>
    <row r="29" spans="2:10" ht="15" customHeight="1" x14ac:dyDescent="0.2">
      <c r="B29" s="350" t="s">
        <v>394</v>
      </c>
      <c r="C29" s="354"/>
      <c r="D29" s="354"/>
      <c r="E29" s="354"/>
      <c r="F29" s="354"/>
      <c r="G29" s="354"/>
      <c r="H29" s="354"/>
      <c r="I29" s="354"/>
      <c r="J29" s="354"/>
    </row>
    <row r="30" spans="2:10" ht="15" customHeight="1" x14ac:dyDescent="0.2">
      <c r="B30" s="8" t="s">
        <v>395</v>
      </c>
      <c r="C30" s="45" t="s">
        <v>396</v>
      </c>
      <c r="D30" s="113">
        <v>0.19</v>
      </c>
      <c r="E30" s="113">
        <v>0.03</v>
      </c>
      <c r="F30" s="113">
        <v>1</v>
      </c>
      <c r="G30" s="49">
        <f t="shared" ref="G30:G41" si="1">G17</f>
        <v>3.2404727879004391E-2</v>
      </c>
      <c r="H30" s="48">
        <f t="shared" ref="H30:H41" si="2">INDEX(D30:G30, MATCH($C$3, $D$5:$G$5, 0))</f>
        <v>0.19</v>
      </c>
    </row>
    <row r="31" spans="2:10" ht="15" customHeight="1" x14ac:dyDescent="0.2">
      <c r="B31" s="8" t="s">
        <v>397</v>
      </c>
      <c r="C31" s="45" t="s">
        <v>398</v>
      </c>
      <c r="D31" s="113">
        <v>0.21</v>
      </c>
      <c r="E31" s="113">
        <v>0.04</v>
      </c>
      <c r="F31" s="113">
        <v>1</v>
      </c>
      <c r="G31" s="49">
        <f t="shared" si="1"/>
        <v>3.7647969512921264E-2</v>
      </c>
      <c r="H31" s="48">
        <f t="shared" si="2"/>
        <v>0.21</v>
      </c>
    </row>
    <row r="32" spans="2:10" ht="15" customHeight="1" x14ac:dyDescent="0.2">
      <c r="B32" s="8" t="s">
        <v>399</v>
      </c>
      <c r="C32" s="45" t="s">
        <v>400</v>
      </c>
      <c r="D32" s="113">
        <v>0.254</v>
      </c>
      <c r="E32" s="113">
        <v>0.19</v>
      </c>
      <c r="F32" s="113">
        <v>1</v>
      </c>
      <c r="G32" s="49">
        <f t="shared" si="1"/>
        <v>4.2891211146838137E-2</v>
      </c>
      <c r="H32" s="48">
        <f t="shared" si="2"/>
        <v>0.254</v>
      </c>
    </row>
    <row r="33" spans="2:14" ht="15" customHeight="1" x14ac:dyDescent="0.2">
      <c r="B33" s="8" t="s">
        <v>401</v>
      </c>
      <c r="C33" s="45" t="s">
        <v>402</v>
      </c>
      <c r="D33" s="113">
        <v>0.29799999999999999</v>
      </c>
      <c r="E33" s="113">
        <v>0.21</v>
      </c>
      <c r="F33" s="113">
        <v>1</v>
      </c>
      <c r="G33" s="49">
        <f t="shared" si="1"/>
        <v>4.813445278075501E-2</v>
      </c>
      <c r="H33" s="48">
        <f t="shared" si="2"/>
        <v>0.29799999999999999</v>
      </c>
    </row>
    <row r="34" spans="2:14" ht="15" customHeight="1" x14ac:dyDescent="0.2">
      <c r="B34" s="8" t="s">
        <v>403</v>
      </c>
      <c r="C34" s="45" t="s">
        <v>404</v>
      </c>
      <c r="D34" s="113">
        <v>0.34200000000000003</v>
      </c>
      <c r="E34" s="113">
        <v>0.254</v>
      </c>
      <c r="F34" s="113">
        <v>1</v>
      </c>
      <c r="G34" s="49">
        <f t="shared" si="1"/>
        <v>5.3377694414671883E-2</v>
      </c>
      <c r="H34" s="48">
        <f t="shared" si="2"/>
        <v>0.34200000000000003</v>
      </c>
    </row>
    <row r="35" spans="2:14" ht="15" customHeight="1" x14ac:dyDescent="0.2">
      <c r="B35" s="8" t="s">
        <v>405</v>
      </c>
      <c r="C35" s="45" t="s">
        <v>406</v>
      </c>
      <c r="D35" s="113">
        <v>0.38600000000000001</v>
      </c>
      <c r="E35" s="113">
        <v>0.29799999999999999</v>
      </c>
      <c r="F35" s="113">
        <v>1</v>
      </c>
      <c r="G35" s="49">
        <f t="shared" si="1"/>
        <v>5.8620936048588645E-2</v>
      </c>
      <c r="H35" s="48">
        <f t="shared" si="2"/>
        <v>0.38600000000000001</v>
      </c>
    </row>
    <row r="36" spans="2:14" ht="15" customHeight="1" x14ac:dyDescent="0.2">
      <c r="B36" s="8" t="s">
        <v>407</v>
      </c>
      <c r="C36" s="45" t="s">
        <v>408</v>
      </c>
      <c r="D36" s="113">
        <v>0.43</v>
      </c>
      <c r="E36" s="113">
        <v>0.34200000000000003</v>
      </c>
      <c r="F36" s="113">
        <v>1</v>
      </c>
      <c r="G36" s="49">
        <f t="shared" si="1"/>
        <v>6.386417768250563E-2</v>
      </c>
      <c r="H36" s="48">
        <f t="shared" si="2"/>
        <v>0.43</v>
      </c>
    </row>
    <row r="37" spans="2:14" ht="15" customHeight="1" x14ac:dyDescent="0.2">
      <c r="B37" s="8" t="s">
        <v>409</v>
      </c>
      <c r="C37" s="45" t="s">
        <v>410</v>
      </c>
      <c r="D37" s="113">
        <v>0.5</v>
      </c>
      <c r="E37" s="113">
        <v>0.38600000000000001</v>
      </c>
      <c r="F37" s="113">
        <v>1</v>
      </c>
      <c r="G37" s="49">
        <f t="shared" si="1"/>
        <v>6.9107419316422614E-2</v>
      </c>
      <c r="H37" s="48">
        <f t="shared" si="2"/>
        <v>0.5</v>
      </c>
    </row>
    <row r="38" spans="2:14" ht="15" customHeight="1" x14ac:dyDescent="0.2">
      <c r="B38" s="8" t="s">
        <v>411</v>
      </c>
      <c r="C38" s="45" t="s">
        <v>412</v>
      </c>
      <c r="D38" s="113">
        <v>0.56999999999999995</v>
      </c>
      <c r="E38" s="113">
        <v>0.4748</v>
      </c>
      <c r="F38" s="113">
        <v>1</v>
      </c>
      <c r="G38" s="49">
        <f t="shared" si="1"/>
        <v>7.4350660950339376E-2</v>
      </c>
      <c r="H38" s="48">
        <f t="shared" si="2"/>
        <v>0.56999999999999995</v>
      </c>
    </row>
    <row r="39" spans="2:14" ht="15" customHeight="1" x14ac:dyDescent="0.2">
      <c r="B39" s="8" t="s">
        <v>413</v>
      </c>
      <c r="C39" s="45" t="s">
        <v>414</v>
      </c>
      <c r="D39" s="113">
        <v>0.64</v>
      </c>
      <c r="E39" s="113">
        <v>0.56359999999999999</v>
      </c>
      <c r="F39" s="113">
        <v>1</v>
      </c>
      <c r="G39" s="49">
        <f t="shared" si="1"/>
        <v>7.9593902584256249E-2</v>
      </c>
      <c r="H39" s="48">
        <f t="shared" si="2"/>
        <v>0.64</v>
      </c>
    </row>
    <row r="40" spans="2:14" ht="15" customHeight="1" x14ac:dyDescent="0.2">
      <c r="B40" s="8" t="s">
        <v>415</v>
      </c>
      <c r="C40" s="45" t="s">
        <v>416</v>
      </c>
      <c r="D40" s="113">
        <v>0.71</v>
      </c>
      <c r="E40" s="113">
        <v>0.65239999999999998</v>
      </c>
      <c r="F40" s="113">
        <v>1</v>
      </c>
      <c r="G40" s="49">
        <f t="shared" si="1"/>
        <v>8.4837144218173122E-2</v>
      </c>
      <c r="H40" s="48">
        <f t="shared" si="2"/>
        <v>0.71</v>
      </c>
    </row>
    <row r="41" spans="2:14" ht="15" customHeight="1" x14ac:dyDescent="0.2">
      <c r="B41" s="8" t="s">
        <v>417</v>
      </c>
      <c r="C41" s="45" t="s">
        <v>418</v>
      </c>
      <c r="D41" s="113">
        <v>0.78</v>
      </c>
      <c r="E41" s="113">
        <v>0.74119999999999997</v>
      </c>
      <c r="F41" s="113">
        <v>1</v>
      </c>
      <c r="G41" s="49">
        <f t="shared" si="1"/>
        <v>9.0080385852089995E-2</v>
      </c>
      <c r="H41" s="48">
        <f t="shared" si="2"/>
        <v>0.78</v>
      </c>
    </row>
    <row r="42" spans="2:14" ht="15" customHeight="1" thickBot="1" x14ac:dyDescent="0.25">
      <c r="B42" s="353" t="s">
        <v>419</v>
      </c>
      <c r="C42" s="354"/>
      <c r="D42" s="354"/>
      <c r="E42" s="354"/>
      <c r="F42" s="354"/>
      <c r="G42" s="354"/>
      <c r="H42" s="354"/>
      <c r="I42" s="354"/>
      <c r="J42" s="354"/>
      <c r="K42" s="354"/>
      <c r="L42" s="354"/>
      <c r="M42" s="354"/>
      <c r="N42" s="354"/>
    </row>
    <row r="43" spans="2:14" x14ac:dyDescent="0.2">
      <c r="B43" s="130"/>
      <c r="C43" s="131"/>
      <c r="D43" s="131"/>
      <c r="E43" s="131"/>
      <c r="F43" s="131"/>
      <c r="G43" s="131"/>
      <c r="H43" s="131"/>
      <c r="J43" s="131"/>
      <c r="K43" s="131"/>
      <c r="L43" s="131"/>
      <c r="M43" s="131"/>
      <c r="N43" s="132"/>
    </row>
    <row r="44" spans="2:14" x14ac:dyDescent="0.2">
      <c r="B44" s="133"/>
      <c r="C44" s="134" t="s">
        <v>138</v>
      </c>
      <c r="D44" s="134"/>
      <c r="E44" s="134"/>
      <c r="F44" s="134"/>
      <c r="G44" s="134" t="s">
        <v>139</v>
      </c>
      <c r="H44" s="134"/>
      <c r="I44" s="134"/>
      <c r="J44" s="134"/>
      <c r="K44" s="134" t="s">
        <v>140</v>
      </c>
      <c r="L44" s="134"/>
      <c r="M44" s="134"/>
      <c r="N44" s="135"/>
    </row>
    <row r="45" spans="2:14" x14ac:dyDescent="0.2">
      <c r="B45" s="133"/>
      <c r="C45" s="50" t="s">
        <v>142</v>
      </c>
      <c r="D45" s="50" t="s">
        <v>143</v>
      </c>
      <c r="E45" s="50" t="s">
        <v>144</v>
      </c>
      <c r="F45" s="50" t="s">
        <v>145</v>
      </c>
      <c r="G45" s="50" t="s">
        <v>142</v>
      </c>
      <c r="H45" s="50" t="s">
        <v>143</v>
      </c>
      <c r="I45" s="50" t="s">
        <v>144</v>
      </c>
      <c r="J45" s="50" t="s">
        <v>145</v>
      </c>
      <c r="K45" s="50" t="s">
        <v>142</v>
      </c>
      <c r="L45" s="50" t="s">
        <v>143</v>
      </c>
      <c r="M45" s="50" t="s">
        <v>144</v>
      </c>
      <c r="N45" s="51" t="s">
        <v>145</v>
      </c>
    </row>
    <row r="46" spans="2:14" x14ac:dyDescent="0.2">
      <c r="B46" s="136"/>
      <c r="C46" s="17">
        <f>Calculation!I63</f>
        <v>732.61886276990185</v>
      </c>
      <c r="D46" s="17">
        <f>Calculation!I80</f>
        <v>466.31395999999995</v>
      </c>
      <c r="E46" s="17">
        <f>Calculation!I100</f>
        <v>794.23794399999997</v>
      </c>
      <c r="F46" s="17">
        <f>Calculation!I114</f>
        <v>1339.3555820953538</v>
      </c>
      <c r="G46" s="17">
        <f>Calculation!N63</f>
        <v>942.6414227480916</v>
      </c>
      <c r="H46" s="17">
        <f>Calculation!N80</f>
        <v>691.86527954936162</v>
      </c>
      <c r="I46" s="17">
        <f>Calculation!N100</f>
        <v>1048.8837085223367</v>
      </c>
      <c r="J46" s="17">
        <f>Calculation!N114</f>
        <v>1208.353663394385</v>
      </c>
      <c r="K46" s="17">
        <f>Calculation!S63</f>
        <v>1365.9262128244275</v>
      </c>
      <c r="L46" s="17">
        <f>Calculation!S80</f>
        <v>1137.4705262751525</v>
      </c>
      <c r="M46" s="17">
        <f>Calculation!S100</f>
        <v>1389.2714542268041</v>
      </c>
      <c r="N46" s="18">
        <f>Calculation!S114</f>
        <v>1474.5529440000005</v>
      </c>
    </row>
    <row r="47" spans="2:14" x14ac:dyDescent="0.2">
      <c r="B47" s="19" t="s">
        <v>101</v>
      </c>
      <c r="C47" s="20">
        <f t="dataTable" ref="C47:N50" dt2D="0" dtr="0" r1="C3"/>
        <v>732.61886276990185</v>
      </c>
      <c r="D47" s="20">
        <v>466.31395999999995</v>
      </c>
      <c r="E47" s="20">
        <v>794.23794399999997</v>
      </c>
      <c r="F47" s="20">
        <v>1339.3555820953538</v>
      </c>
      <c r="G47" s="20">
        <v>942.6414227480916</v>
      </c>
      <c r="H47" s="20">
        <v>691.86527954936162</v>
      </c>
      <c r="I47" s="20">
        <v>1048.8837085223367</v>
      </c>
      <c r="J47" s="20">
        <v>1208.353663394385</v>
      </c>
      <c r="K47" s="20">
        <v>1365.9262128244275</v>
      </c>
      <c r="L47" s="20">
        <v>1137.4705262751525</v>
      </c>
      <c r="M47" s="20">
        <v>1389.2714542268041</v>
      </c>
      <c r="N47" s="21">
        <v>1474.5529440000005</v>
      </c>
    </row>
    <row r="48" spans="2:14" x14ac:dyDescent="0.2">
      <c r="B48" s="22" t="s">
        <v>102</v>
      </c>
      <c r="C48" s="23">
        <v>648.06431842966197</v>
      </c>
      <c r="D48" s="23">
        <v>371.74407306434028</v>
      </c>
      <c r="E48" s="23">
        <v>685.83827200000007</v>
      </c>
      <c r="F48" s="23">
        <v>1258.576431842966</v>
      </c>
      <c r="G48" s="23">
        <v>853.87822427480921</v>
      </c>
      <c r="H48" s="23">
        <v>594.8279850488193</v>
      </c>
      <c r="I48" s="23">
        <v>931.20795906725584</v>
      </c>
      <c r="J48" s="23">
        <v>1124.0260305845272</v>
      </c>
      <c r="K48" s="23">
        <v>1321.1987829443838</v>
      </c>
      <c r="L48" s="23">
        <v>1090.3249336553044</v>
      </c>
      <c r="M48" s="23">
        <v>1343.19884794109</v>
      </c>
      <c r="N48" s="24">
        <v>1417.8775977600003</v>
      </c>
    </row>
    <row r="49" spans="2:14" x14ac:dyDescent="0.2">
      <c r="B49" s="22" t="s">
        <v>103</v>
      </c>
      <c r="C49" s="23">
        <v>1743.5803427699018</v>
      </c>
      <c r="D49" s="23">
        <v>1461.2404000000001</v>
      </c>
      <c r="E49" s="23">
        <v>1805.1994239999999</v>
      </c>
      <c r="F49" s="23">
        <v>2147.3440000000001</v>
      </c>
      <c r="G49" s="23">
        <v>1699.9015427480915</v>
      </c>
      <c r="H49" s="23">
        <v>1449.1253995493616</v>
      </c>
      <c r="I49" s="23">
        <v>1806.1438285223367</v>
      </c>
      <c r="J49" s="23">
        <v>1907.3540000000003</v>
      </c>
      <c r="K49" s="23">
        <v>1719.5705328244276</v>
      </c>
      <c r="L49" s="23">
        <v>1491.1148462751526</v>
      </c>
      <c r="M49" s="23">
        <v>1742.9157742268039</v>
      </c>
      <c r="N49" s="24">
        <v>1749.7640000000006</v>
      </c>
    </row>
    <row r="50" spans="2:14" x14ac:dyDescent="0.2">
      <c r="B50" s="137" t="s">
        <v>208</v>
      </c>
      <c r="C50" s="138">
        <v>593.28</v>
      </c>
      <c r="D50" s="138">
        <v>424.36</v>
      </c>
      <c r="E50" s="138">
        <v>593.28</v>
      </c>
      <c r="F50" s="138">
        <v>2218.62</v>
      </c>
      <c r="G50" s="138">
        <v>566.5</v>
      </c>
      <c r="H50" s="138">
        <v>422.3</v>
      </c>
      <c r="I50" s="138">
        <v>566.5</v>
      </c>
      <c r="J50" s="138">
        <v>2061.0300000000002</v>
      </c>
      <c r="K50" s="138">
        <v>539.72</v>
      </c>
      <c r="L50" s="138">
        <v>420.24</v>
      </c>
      <c r="M50" s="138">
        <v>539.72</v>
      </c>
      <c r="N50" s="139">
        <v>1903.4400000000003</v>
      </c>
    </row>
    <row r="51" spans="2:14" x14ac:dyDescent="0.2">
      <c r="B51" s="137"/>
      <c r="C51" s="138"/>
      <c r="D51" s="138"/>
      <c r="E51" s="138"/>
      <c r="F51" s="138"/>
      <c r="G51" s="138"/>
      <c r="H51" s="138"/>
      <c r="I51" s="138"/>
      <c r="J51" s="138"/>
      <c r="K51" s="138"/>
      <c r="L51" s="138"/>
      <c r="M51" s="138"/>
      <c r="N51" s="139"/>
    </row>
    <row r="52" spans="2:14" x14ac:dyDescent="0.2">
      <c r="B52" s="140" t="s">
        <v>184</v>
      </c>
      <c r="C52" s="141"/>
      <c r="D52" s="141"/>
      <c r="E52" s="141"/>
      <c r="F52" s="141"/>
      <c r="G52" s="141"/>
      <c r="H52" s="141"/>
      <c r="I52" s="141"/>
      <c r="J52" s="141"/>
      <c r="K52" s="141"/>
      <c r="L52" s="141"/>
      <c r="M52" s="141"/>
      <c r="N52" s="142"/>
    </row>
    <row r="53" spans="2:14" x14ac:dyDescent="0.2">
      <c r="B53" s="133"/>
      <c r="C53" s="134">
        <v>2029</v>
      </c>
      <c r="D53" s="134">
        <v>2030</v>
      </c>
      <c r="E53" s="134">
        <v>2031</v>
      </c>
      <c r="F53" s="134">
        <v>2032</v>
      </c>
      <c r="G53" s="134">
        <v>2033</v>
      </c>
      <c r="H53" s="134">
        <v>2034</v>
      </c>
      <c r="I53" s="134">
        <v>2035</v>
      </c>
      <c r="J53" s="134">
        <v>2036</v>
      </c>
      <c r="K53" s="134">
        <v>2037</v>
      </c>
      <c r="L53" s="134">
        <v>2038</v>
      </c>
      <c r="M53" s="134">
        <v>2039</v>
      </c>
      <c r="N53" s="135">
        <v>2040</v>
      </c>
    </row>
    <row r="54" spans="2:14" x14ac:dyDescent="0.2">
      <c r="B54" s="143"/>
      <c r="C54" s="144">
        <f>Calculation!H4</f>
        <v>87.701999999999998</v>
      </c>
      <c r="D54" s="144">
        <f>Calculation!I4</f>
        <v>85.835999999999999</v>
      </c>
      <c r="E54" s="144">
        <f>Calculation!J4</f>
        <v>81.730800000000002</v>
      </c>
      <c r="F54" s="144">
        <f>Calculation!K4</f>
        <v>77.625599999999991</v>
      </c>
      <c r="G54" s="144">
        <f>Calculation!L4</f>
        <v>73.520399999999995</v>
      </c>
      <c r="H54" s="144">
        <f>Calculation!M4</f>
        <v>69.415199999999999</v>
      </c>
      <c r="I54" s="144">
        <f>Calculation!N4</f>
        <v>65.309999999999988</v>
      </c>
      <c r="J54" s="144">
        <f>Calculation!O4</f>
        <v>58.778999999999996</v>
      </c>
      <c r="K54" s="144">
        <f>Calculation!P4</f>
        <v>52.248000000000005</v>
      </c>
      <c r="L54" s="144">
        <f>Calculation!Q4</f>
        <v>45.716999999999999</v>
      </c>
      <c r="M54" s="144">
        <f>Calculation!R4</f>
        <v>39.186</v>
      </c>
      <c r="N54" s="145">
        <f>Calculation!S4</f>
        <v>32.654999999999994</v>
      </c>
    </row>
    <row r="55" spans="2:14" x14ac:dyDescent="0.2">
      <c r="B55" s="25" t="s">
        <v>101</v>
      </c>
      <c r="C55" s="146">
        <f t="dataTable" ref="C55:N58" dt2D="0" dtr="0" r1="C3"/>
        <v>87.701999999999998</v>
      </c>
      <c r="D55" s="146">
        <v>85.835999999999999</v>
      </c>
      <c r="E55" s="146">
        <v>81.730800000000002</v>
      </c>
      <c r="F55" s="146">
        <v>77.625599999999991</v>
      </c>
      <c r="G55" s="146">
        <v>73.520399999999995</v>
      </c>
      <c r="H55" s="146">
        <v>69.415199999999999</v>
      </c>
      <c r="I55" s="146">
        <v>65.309999999999988</v>
      </c>
      <c r="J55" s="146">
        <v>58.778999999999996</v>
      </c>
      <c r="K55" s="146">
        <v>52.248000000000005</v>
      </c>
      <c r="L55" s="146">
        <v>45.716999999999999</v>
      </c>
      <c r="M55" s="146">
        <v>39.186</v>
      </c>
      <c r="N55" s="147">
        <v>32.654999999999994</v>
      </c>
    </row>
    <row r="56" spans="2:14" x14ac:dyDescent="0.2">
      <c r="B56" s="26" t="s">
        <v>102</v>
      </c>
      <c r="C56" s="148">
        <v>90.500999999999991</v>
      </c>
      <c r="D56" s="148">
        <v>89.567999999999998</v>
      </c>
      <c r="E56" s="148">
        <v>87.701999999999998</v>
      </c>
      <c r="F56" s="148">
        <v>85.835999999999999</v>
      </c>
      <c r="G56" s="148">
        <v>81.730800000000002</v>
      </c>
      <c r="H56" s="148">
        <v>77.625599999999991</v>
      </c>
      <c r="I56" s="148">
        <v>73.520399999999995</v>
      </c>
      <c r="J56" s="148">
        <v>69.415199999999999</v>
      </c>
      <c r="K56" s="148">
        <v>61.130159999999997</v>
      </c>
      <c r="L56" s="148">
        <v>52.845120000000001</v>
      </c>
      <c r="M56" s="148">
        <v>44.560079999999999</v>
      </c>
      <c r="N56" s="149">
        <v>36.275040000000004</v>
      </c>
    </row>
    <row r="57" spans="2:14" x14ac:dyDescent="0.2">
      <c r="B57" s="26" t="s">
        <v>103</v>
      </c>
      <c r="C57" s="148">
        <v>87.701999999999998</v>
      </c>
      <c r="D57" s="148">
        <v>85.835999999999999</v>
      </c>
      <c r="E57" s="148">
        <v>81.730800000000002</v>
      </c>
      <c r="F57" s="148">
        <v>77.625599999999991</v>
      </c>
      <c r="G57" s="148">
        <v>73.520399999999995</v>
      </c>
      <c r="H57" s="148">
        <v>69.415199999999999</v>
      </c>
      <c r="I57" s="148">
        <v>65.309999999999988</v>
      </c>
      <c r="J57" s="148">
        <v>58.778999999999996</v>
      </c>
      <c r="K57" s="148">
        <v>52.248000000000005</v>
      </c>
      <c r="L57" s="148">
        <v>45.716999999999999</v>
      </c>
      <c r="M57" s="148">
        <v>39.186</v>
      </c>
      <c r="N57" s="149">
        <v>32.654999999999994</v>
      </c>
    </row>
    <row r="58" spans="2:14" x14ac:dyDescent="0.2">
      <c r="B58" s="22" t="s">
        <v>208</v>
      </c>
      <c r="C58" s="150">
        <v>90.276638888888883</v>
      </c>
      <c r="D58" s="150">
        <v>89.787444444444446</v>
      </c>
      <c r="E58" s="150">
        <v>89.298249999999996</v>
      </c>
      <c r="F58" s="150">
        <v>88.80905555555556</v>
      </c>
      <c r="G58" s="150">
        <v>88.319861111111109</v>
      </c>
      <c r="H58" s="150">
        <v>87.830666666666673</v>
      </c>
      <c r="I58" s="150">
        <v>87.341472222222222</v>
      </c>
      <c r="J58" s="150">
        <v>86.852277777777772</v>
      </c>
      <c r="K58" s="150">
        <v>86.363083333333336</v>
      </c>
      <c r="L58" s="150">
        <v>85.873888888888885</v>
      </c>
      <c r="M58" s="150">
        <v>85.384694444444449</v>
      </c>
      <c r="N58" s="151">
        <v>84.895499999999998</v>
      </c>
    </row>
    <row r="59" spans="2:14" x14ac:dyDescent="0.2">
      <c r="B59" s="137"/>
      <c r="C59" s="138"/>
      <c r="D59" s="138"/>
      <c r="E59" s="138"/>
      <c r="F59" s="138"/>
      <c r="G59" s="138"/>
      <c r="H59" s="138"/>
      <c r="I59" s="138"/>
      <c r="J59" s="138"/>
      <c r="K59" s="138"/>
      <c r="L59" s="138"/>
      <c r="M59" s="138"/>
      <c r="N59" s="139"/>
    </row>
    <row r="60" spans="2:14" x14ac:dyDescent="0.2">
      <c r="B60" s="140" t="s">
        <v>187</v>
      </c>
      <c r="C60" s="141"/>
      <c r="D60" s="141"/>
      <c r="E60" s="141"/>
      <c r="F60" s="141"/>
      <c r="G60" s="141"/>
      <c r="H60" s="141"/>
      <c r="I60" s="141"/>
      <c r="J60" s="141"/>
      <c r="K60" s="141"/>
      <c r="L60" s="141"/>
      <c r="M60" s="141"/>
      <c r="N60" s="142"/>
    </row>
    <row r="61" spans="2:14" x14ac:dyDescent="0.2">
      <c r="B61" s="133"/>
      <c r="C61" s="134">
        <v>2029</v>
      </c>
      <c r="D61" s="134">
        <v>2030</v>
      </c>
      <c r="E61" s="134">
        <v>2031</v>
      </c>
      <c r="F61" s="134">
        <v>2032</v>
      </c>
      <c r="G61" s="134">
        <v>2033</v>
      </c>
      <c r="H61" s="134">
        <v>2034</v>
      </c>
      <c r="I61" s="134">
        <v>2035</v>
      </c>
      <c r="J61" s="134">
        <v>2036</v>
      </c>
      <c r="K61" s="134">
        <v>2037</v>
      </c>
      <c r="L61" s="134">
        <v>2038</v>
      </c>
      <c r="M61" s="134">
        <v>2039</v>
      </c>
      <c r="N61" s="135">
        <v>2040</v>
      </c>
    </row>
    <row r="62" spans="2:14" x14ac:dyDescent="0.2">
      <c r="B62" s="136"/>
      <c r="C62" s="152">
        <f>Calculation!H5</f>
        <v>75.573000000000008</v>
      </c>
      <c r="D62" s="152">
        <f>Calculation!I5</f>
        <v>73.707000000000008</v>
      </c>
      <c r="E62" s="152">
        <f>Calculation!J5</f>
        <v>69.601799999999997</v>
      </c>
      <c r="F62" s="152">
        <f>Calculation!K5</f>
        <v>65.496600000000001</v>
      </c>
      <c r="G62" s="152">
        <f>Calculation!L5</f>
        <v>61.39139999999999</v>
      </c>
      <c r="H62" s="152">
        <f>Calculation!M5</f>
        <v>57.286199999999994</v>
      </c>
      <c r="I62" s="152">
        <f>Calculation!N5</f>
        <v>53.181000000000004</v>
      </c>
      <c r="J62" s="152">
        <f>Calculation!O5</f>
        <v>46.65</v>
      </c>
      <c r="K62" s="152">
        <f>Calculation!P5</f>
        <v>40.119000000000007</v>
      </c>
      <c r="L62" s="152">
        <f>Calculation!Q5</f>
        <v>33.588000000000001</v>
      </c>
      <c r="M62" s="152">
        <f>Calculation!R5</f>
        <v>27.057000000000002</v>
      </c>
      <c r="N62" s="153">
        <f>Calculation!S5</f>
        <v>20.525999999999996</v>
      </c>
    </row>
    <row r="63" spans="2:14" x14ac:dyDescent="0.2">
      <c r="B63" s="19" t="s">
        <v>101</v>
      </c>
      <c r="C63" s="146">
        <f t="dataTable" ref="C63:N66" dt2D="0" dtr="0" r1="C3"/>
        <v>75.573000000000008</v>
      </c>
      <c r="D63" s="146">
        <v>73.707000000000008</v>
      </c>
      <c r="E63" s="146">
        <v>69.601799999999997</v>
      </c>
      <c r="F63" s="146">
        <v>65.496600000000001</v>
      </c>
      <c r="G63" s="146">
        <v>61.39139999999999</v>
      </c>
      <c r="H63" s="146">
        <v>57.286199999999994</v>
      </c>
      <c r="I63" s="146">
        <v>53.181000000000004</v>
      </c>
      <c r="J63" s="146">
        <v>46.65</v>
      </c>
      <c r="K63" s="146">
        <v>40.119000000000007</v>
      </c>
      <c r="L63" s="146">
        <v>33.588000000000001</v>
      </c>
      <c r="M63" s="146">
        <v>27.057000000000002</v>
      </c>
      <c r="N63" s="147">
        <v>20.525999999999996</v>
      </c>
    </row>
    <row r="64" spans="2:14" x14ac:dyDescent="0.2">
      <c r="B64" s="22" t="s">
        <v>102</v>
      </c>
      <c r="C64" s="148">
        <v>90.500999999999991</v>
      </c>
      <c r="D64" s="148">
        <v>89.567999999999998</v>
      </c>
      <c r="E64" s="148">
        <v>75.573000000000008</v>
      </c>
      <c r="F64" s="148">
        <v>73.707000000000008</v>
      </c>
      <c r="G64" s="148">
        <v>69.601799999999997</v>
      </c>
      <c r="H64" s="148">
        <v>65.496600000000001</v>
      </c>
      <c r="I64" s="148">
        <v>61.39139999999999</v>
      </c>
      <c r="J64" s="148">
        <v>57.286199999999994</v>
      </c>
      <c r="K64" s="148">
        <v>49.001159999999999</v>
      </c>
      <c r="L64" s="148">
        <v>40.716119999999997</v>
      </c>
      <c r="M64" s="148">
        <v>32.431080000000001</v>
      </c>
      <c r="N64" s="149">
        <v>24.146040000000003</v>
      </c>
    </row>
    <row r="65" spans="2:14" x14ac:dyDescent="0.2">
      <c r="B65" s="22" t="s">
        <v>103</v>
      </c>
      <c r="C65" s="148">
        <v>0</v>
      </c>
      <c r="D65" s="148">
        <v>0</v>
      </c>
      <c r="E65" s="148">
        <v>0</v>
      </c>
      <c r="F65" s="148">
        <v>0</v>
      </c>
      <c r="G65" s="148">
        <v>0</v>
      </c>
      <c r="H65" s="148">
        <v>0</v>
      </c>
      <c r="I65" s="148">
        <v>0</v>
      </c>
      <c r="J65" s="148">
        <v>0</v>
      </c>
      <c r="K65" s="148">
        <v>0</v>
      </c>
      <c r="L65" s="148">
        <v>0</v>
      </c>
      <c r="M65" s="148">
        <v>0</v>
      </c>
      <c r="N65" s="149">
        <v>0</v>
      </c>
    </row>
    <row r="66" spans="2:14" x14ac:dyDescent="0.2">
      <c r="B66" s="137" t="s">
        <v>208</v>
      </c>
      <c r="C66" s="150">
        <v>90.276638888888883</v>
      </c>
      <c r="D66" s="150">
        <v>89.787444444444446</v>
      </c>
      <c r="E66" s="150">
        <v>89.298249999999996</v>
      </c>
      <c r="F66" s="150">
        <v>88.80905555555556</v>
      </c>
      <c r="G66" s="150">
        <v>88.319861111111109</v>
      </c>
      <c r="H66" s="150">
        <v>87.830666666666673</v>
      </c>
      <c r="I66" s="150">
        <v>87.341472222222222</v>
      </c>
      <c r="J66" s="150">
        <v>86.852277777777772</v>
      </c>
      <c r="K66" s="150">
        <v>86.363083333333336</v>
      </c>
      <c r="L66" s="150">
        <v>85.873888888888885</v>
      </c>
      <c r="M66" s="150">
        <v>85.384694444444449</v>
      </c>
      <c r="N66" s="151">
        <v>84.895499999999998</v>
      </c>
    </row>
    <row r="67" spans="2:14" x14ac:dyDescent="0.2">
      <c r="B67" s="137"/>
      <c r="C67" s="138"/>
      <c r="D67" s="138"/>
      <c r="E67" s="138"/>
      <c r="F67" s="138"/>
      <c r="G67" s="138"/>
      <c r="H67" s="138"/>
      <c r="I67" s="138"/>
      <c r="J67" s="138"/>
      <c r="K67" s="138"/>
      <c r="L67" s="138"/>
      <c r="M67" s="138"/>
      <c r="N67" s="139"/>
    </row>
    <row r="68" spans="2:14" x14ac:dyDescent="0.2">
      <c r="B68" s="133"/>
      <c r="C68" s="134">
        <f>Calculation!H3</f>
        <v>2029</v>
      </c>
      <c r="D68" s="134">
        <f>Calculation!I3</f>
        <v>2030</v>
      </c>
      <c r="E68" s="134">
        <f>Calculation!J3</f>
        <v>2031</v>
      </c>
      <c r="F68" s="134">
        <f>Calculation!K3</f>
        <v>2032</v>
      </c>
      <c r="G68" s="134">
        <f>Calculation!L3</f>
        <v>2033</v>
      </c>
      <c r="H68" s="134">
        <f>Calculation!M3</f>
        <v>2034</v>
      </c>
      <c r="I68" s="134">
        <f>Calculation!N3</f>
        <v>2035</v>
      </c>
      <c r="J68" s="134">
        <f>Calculation!O3</f>
        <v>2036</v>
      </c>
      <c r="K68" s="134">
        <f>Calculation!P3</f>
        <v>2037</v>
      </c>
      <c r="L68" s="134">
        <f>Calculation!Q3</f>
        <v>2038</v>
      </c>
      <c r="M68" s="134">
        <f>Calculation!R3</f>
        <v>2039</v>
      </c>
      <c r="N68" s="135">
        <f>Calculation!S3</f>
        <v>2040</v>
      </c>
    </row>
    <row r="69" spans="2:14" x14ac:dyDescent="0.2">
      <c r="B69" s="154" t="str">
        <f>Overview!B53</f>
        <v>Strategy 1: VLSFO + bio-diesel (base case)</v>
      </c>
      <c r="C69" s="155">
        <f>Calculation!H63</f>
        <v>721.47255867269041</v>
      </c>
      <c r="D69" s="155">
        <f>Calculation!I63</f>
        <v>732.61886276990185</v>
      </c>
      <c r="E69" s="155">
        <f>Calculation!J63</f>
        <v>769.39675714285715</v>
      </c>
      <c r="F69" s="155">
        <f>Calculation!K63</f>
        <v>808.61852139585619</v>
      </c>
      <c r="G69" s="155">
        <f>Calculation!L63</f>
        <v>851.51743731733927</v>
      </c>
      <c r="H69" s="155">
        <f>Calculation!M63</f>
        <v>895.85749509269363</v>
      </c>
      <c r="I69" s="155">
        <f>Calculation!N63</f>
        <v>942.6414227480916</v>
      </c>
      <c r="J69" s="155">
        <f>Calculation!O63</f>
        <v>1018.8167632061071</v>
      </c>
      <c r="K69" s="155">
        <f>Calculation!P63</f>
        <v>1098.8800784732823</v>
      </c>
      <c r="L69" s="155">
        <f>Calculation!Q63</f>
        <v>1185.6261280916031</v>
      </c>
      <c r="M69" s="155">
        <f>Calculation!R63</f>
        <v>1273.8321830534351</v>
      </c>
      <c r="N69" s="156">
        <f>Calculation!S63</f>
        <v>1365.9262128244275</v>
      </c>
    </row>
    <row r="70" spans="2:14" x14ac:dyDescent="0.2">
      <c r="B70" s="19" t="s">
        <v>101</v>
      </c>
      <c r="C70" s="157">
        <f t="dataTable" ref="C70:N73" dt2D="0" dtr="0" r1="C3"/>
        <v>721.47255867269041</v>
      </c>
      <c r="D70" s="157">
        <v>732.61886276990185</v>
      </c>
      <c r="E70" s="157">
        <v>769.39675714285715</v>
      </c>
      <c r="F70" s="157">
        <v>808.61852139585619</v>
      </c>
      <c r="G70" s="157">
        <v>851.51743731733927</v>
      </c>
      <c r="H70" s="157">
        <v>895.85749509269363</v>
      </c>
      <c r="I70" s="157">
        <v>942.6414227480916</v>
      </c>
      <c r="J70" s="157">
        <v>1018.8167632061071</v>
      </c>
      <c r="K70" s="157">
        <v>1098.8800784732823</v>
      </c>
      <c r="L70" s="157">
        <v>1185.6261280916031</v>
      </c>
      <c r="M70" s="157">
        <v>1273.8321830534351</v>
      </c>
      <c r="N70" s="158">
        <v>1365.9262128244275</v>
      </c>
    </row>
    <row r="71" spans="2:14" x14ac:dyDescent="0.2">
      <c r="B71" s="22" t="s">
        <v>102</v>
      </c>
      <c r="C71" s="155">
        <v>646.52941143480302</v>
      </c>
      <c r="D71" s="155">
        <v>648.06431842966197</v>
      </c>
      <c r="E71" s="155">
        <v>712.2864942857143</v>
      </c>
      <c r="F71" s="155">
        <v>727.64804008724104</v>
      </c>
      <c r="G71" s="155">
        <v>767.64197860414401</v>
      </c>
      <c r="H71" s="155">
        <v>809.53816649945475</v>
      </c>
      <c r="I71" s="155">
        <v>853.87822427480921</v>
      </c>
      <c r="J71" s="155">
        <v>900.6621519302073</v>
      </c>
      <c r="K71" s="155">
        <v>997.56679074809165</v>
      </c>
      <c r="L71" s="155">
        <v>1101.7980376968374</v>
      </c>
      <c r="M71" s="155">
        <v>1209.0323234416576</v>
      </c>
      <c r="N71" s="156">
        <v>1321.1987829443838</v>
      </c>
    </row>
    <row r="72" spans="2:14" x14ac:dyDescent="0.2">
      <c r="B72" s="22" t="s">
        <v>103</v>
      </c>
      <c r="C72" s="155">
        <v>1755.4977986726904</v>
      </c>
      <c r="D72" s="155">
        <v>1743.5803427699018</v>
      </c>
      <c r="E72" s="155">
        <v>1729.6179651428572</v>
      </c>
      <c r="F72" s="155">
        <v>1718.099457395856</v>
      </c>
      <c r="G72" s="155">
        <v>1710.2581013173392</v>
      </c>
      <c r="H72" s="155">
        <v>1703.8578870926935</v>
      </c>
      <c r="I72" s="155">
        <v>1699.9015427480915</v>
      </c>
      <c r="J72" s="155">
        <v>1695.3537232061071</v>
      </c>
      <c r="K72" s="155">
        <v>1694.6938784732824</v>
      </c>
      <c r="L72" s="155">
        <v>1700.7167680916032</v>
      </c>
      <c r="M72" s="155">
        <v>1708.1996630534352</v>
      </c>
      <c r="N72" s="156">
        <v>1719.5705328244276</v>
      </c>
    </row>
    <row r="73" spans="2:14" x14ac:dyDescent="0.2">
      <c r="B73" s="22" t="s">
        <v>208</v>
      </c>
      <c r="C73" s="155">
        <v>602.10857142857139</v>
      </c>
      <c r="D73" s="155">
        <v>593.28</v>
      </c>
      <c r="E73" s="155">
        <v>587.92399999999998</v>
      </c>
      <c r="F73" s="155">
        <v>582.5680000000001</v>
      </c>
      <c r="G73" s="155">
        <v>577.21199999999999</v>
      </c>
      <c r="H73" s="155">
        <v>571.85599999999999</v>
      </c>
      <c r="I73" s="155">
        <v>566.5</v>
      </c>
      <c r="J73" s="155">
        <v>561.14400000000001</v>
      </c>
      <c r="K73" s="155">
        <v>555.78800000000001</v>
      </c>
      <c r="L73" s="155">
        <v>550.43200000000002</v>
      </c>
      <c r="M73" s="155">
        <v>545.07600000000002</v>
      </c>
      <c r="N73" s="156">
        <v>539.72</v>
      </c>
    </row>
    <row r="74" spans="2:14" x14ac:dyDescent="0.2">
      <c r="B74" s="137"/>
      <c r="C74" s="138"/>
      <c r="D74" s="138"/>
      <c r="E74" s="138"/>
      <c r="F74" s="138"/>
      <c r="G74" s="138"/>
      <c r="H74" s="138"/>
      <c r="I74" s="138"/>
      <c r="J74" s="138"/>
      <c r="K74" s="138"/>
      <c r="L74" s="138"/>
      <c r="M74" s="138"/>
      <c r="N74" s="139"/>
    </row>
    <row r="75" spans="2:14" x14ac:dyDescent="0.2">
      <c r="B75" s="154" t="str">
        <f>Overview!B54</f>
        <v>Strategy 2: LNG + bio-methane</v>
      </c>
      <c r="C75" s="155">
        <f>Calculation!H80</f>
        <v>491.58604000000003</v>
      </c>
      <c r="D75" s="155">
        <f>Calculation!I80</f>
        <v>466.31395999999995</v>
      </c>
      <c r="E75" s="155">
        <f>Calculation!J80</f>
        <v>497.27342419872605</v>
      </c>
      <c r="F75" s="155">
        <f>Calculation!K80</f>
        <v>542.52789619567125</v>
      </c>
      <c r="G75" s="155">
        <f>Calculation!L80</f>
        <v>590.11499694193049</v>
      </c>
      <c r="H75" s="155">
        <f>Calculation!M80</f>
        <v>639.89412472649394</v>
      </c>
      <c r="I75" s="155">
        <f>Calculation!N80</f>
        <v>691.86527954936162</v>
      </c>
      <c r="J75" s="155">
        <f>Calculation!O80</f>
        <v>773.71104990079391</v>
      </c>
      <c r="K75" s="155">
        <f>Calculation!P80</f>
        <v>860.25401918809223</v>
      </c>
      <c r="L75" s="155">
        <f>Calculation!Q80</f>
        <v>950.28430421814744</v>
      </c>
      <c r="M75" s="155">
        <f>Calculation!R80</f>
        <v>1040.8908921672369</v>
      </c>
      <c r="N75" s="156">
        <f>Calculation!S80</f>
        <v>1137.4705262751525</v>
      </c>
    </row>
    <row r="76" spans="2:14" x14ac:dyDescent="0.2">
      <c r="B76" s="19" t="s">
        <v>101</v>
      </c>
      <c r="C76" s="157">
        <f t="dataTable" ref="C76:N79" dt2D="0" dtr="0" r1="C3"/>
        <v>491.58604000000003</v>
      </c>
      <c r="D76" s="157">
        <v>466.31395999999995</v>
      </c>
      <c r="E76" s="157">
        <v>497.27342419872605</v>
      </c>
      <c r="F76" s="157">
        <v>542.52789619567125</v>
      </c>
      <c r="G76" s="157">
        <v>590.11499694193049</v>
      </c>
      <c r="H76" s="157">
        <v>639.89412472649394</v>
      </c>
      <c r="I76" s="157">
        <v>691.86527954936162</v>
      </c>
      <c r="J76" s="157">
        <v>773.71104990079391</v>
      </c>
      <c r="K76" s="157">
        <v>860.25401918809223</v>
      </c>
      <c r="L76" s="157">
        <v>950.28430421814744</v>
      </c>
      <c r="M76" s="157">
        <v>1040.8908921672369</v>
      </c>
      <c r="N76" s="158">
        <v>1137.4705262751525</v>
      </c>
    </row>
    <row r="77" spans="2:14" x14ac:dyDescent="0.2">
      <c r="B77" s="22" t="s">
        <v>102</v>
      </c>
      <c r="C77" s="155">
        <v>398.33904533416433</v>
      </c>
      <c r="D77" s="155">
        <v>371.74407306434028</v>
      </c>
      <c r="E77" s="155">
        <v>458.21404000000001</v>
      </c>
      <c r="F77" s="155">
        <v>465.48996</v>
      </c>
      <c r="G77" s="155">
        <v>497.46175651799649</v>
      </c>
      <c r="H77" s="155">
        <v>545.04885726425573</v>
      </c>
      <c r="I77" s="155">
        <v>594.8279850488193</v>
      </c>
      <c r="J77" s="155">
        <v>645.8565770491025</v>
      </c>
      <c r="K77" s="155">
        <v>751.11294434721924</v>
      </c>
      <c r="L77" s="155">
        <v>860.79322075900461</v>
      </c>
      <c r="M77" s="155">
        <v>972.33634012760513</v>
      </c>
      <c r="N77" s="156">
        <v>1090.3249336553044</v>
      </c>
    </row>
    <row r="78" spans="2:14" x14ac:dyDescent="0.2">
      <c r="B78" s="22" t="s">
        <v>103</v>
      </c>
      <c r="C78" s="155">
        <v>1494.2004000000002</v>
      </c>
      <c r="D78" s="155">
        <v>1461.2404000000001</v>
      </c>
      <c r="E78" s="155">
        <v>1457.4946321987261</v>
      </c>
      <c r="F78" s="155">
        <v>1452.0088321956712</v>
      </c>
      <c r="G78" s="155">
        <v>1448.8556609419304</v>
      </c>
      <c r="H78" s="155">
        <v>1447.8945167264937</v>
      </c>
      <c r="I78" s="155">
        <v>1449.1253995493616</v>
      </c>
      <c r="J78" s="155">
        <v>1450.2480099007939</v>
      </c>
      <c r="K78" s="155">
        <v>1456.0678191880922</v>
      </c>
      <c r="L78" s="155">
        <v>1465.3749442181474</v>
      </c>
      <c r="M78" s="155">
        <v>1475.258372167237</v>
      </c>
      <c r="N78" s="156">
        <v>1491.1148462751526</v>
      </c>
    </row>
    <row r="79" spans="2:14" x14ac:dyDescent="0.2">
      <c r="B79" s="137" t="s">
        <v>208</v>
      </c>
      <c r="C79" s="155">
        <v>457.32000000000005</v>
      </c>
      <c r="D79" s="155">
        <v>424.36</v>
      </c>
      <c r="E79" s="155">
        <v>423.94800000000004</v>
      </c>
      <c r="F79" s="155">
        <v>423.53600000000006</v>
      </c>
      <c r="G79" s="155">
        <v>423.12400000000002</v>
      </c>
      <c r="H79" s="155">
        <v>422.71199999999999</v>
      </c>
      <c r="I79" s="155">
        <v>422.3</v>
      </c>
      <c r="J79" s="155">
        <v>421.88800000000003</v>
      </c>
      <c r="K79" s="155">
        <v>421.476</v>
      </c>
      <c r="L79" s="155">
        <v>421.06399999999996</v>
      </c>
      <c r="M79" s="155">
        <v>420.65199999999999</v>
      </c>
      <c r="N79" s="156">
        <v>420.24</v>
      </c>
    </row>
    <row r="80" spans="2:14" x14ac:dyDescent="0.2">
      <c r="B80" s="137"/>
      <c r="C80" s="138"/>
      <c r="D80" s="138"/>
      <c r="E80" s="138"/>
      <c r="F80" s="138"/>
      <c r="G80" s="138"/>
      <c r="H80" s="138"/>
      <c r="I80" s="138"/>
      <c r="J80" s="138"/>
      <c r="K80" s="138"/>
      <c r="L80" s="138"/>
      <c r="M80" s="138"/>
      <c r="N80" s="139"/>
    </row>
    <row r="81" spans="2:14" x14ac:dyDescent="0.2">
      <c r="B81" s="154" t="str">
        <f>Overview!B55</f>
        <v>Strategy 3: VLSFO + ZNZ</v>
      </c>
      <c r="C81" s="155">
        <f>Calculation!H100</f>
        <v>773.85241942857147</v>
      </c>
      <c r="D81" s="155">
        <f>Calculation!I100</f>
        <v>794.23794399999997</v>
      </c>
      <c r="E81" s="155">
        <f>Calculation!J100</f>
        <v>853.15295520000006</v>
      </c>
      <c r="F81" s="155">
        <f>Calculation!K100</f>
        <v>912.06796640000016</v>
      </c>
      <c r="G81" s="155">
        <f>Calculation!L100</f>
        <v>970.98297760000014</v>
      </c>
      <c r="H81" s="155">
        <f>Calculation!M100</f>
        <v>1029.8979888000001</v>
      </c>
      <c r="I81" s="155">
        <f>Calculation!N100</f>
        <v>1048.8837085223367</v>
      </c>
      <c r="J81" s="155">
        <f>Calculation!O100</f>
        <v>1125.3492803436429</v>
      </c>
      <c r="K81" s="155">
        <f>Calculation!P100</f>
        <v>1197.6208408247423</v>
      </c>
      <c r="L81" s="155">
        <f>Calculation!Q100</f>
        <v>1265.6983899656354</v>
      </c>
      <c r="M81" s="155">
        <f>Calculation!R100</f>
        <v>1329.5819277663227</v>
      </c>
      <c r="N81" s="156">
        <f>Calculation!S100</f>
        <v>1389.2714542268041</v>
      </c>
    </row>
    <row r="82" spans="2:14" x14ac:dyDescent="0.2">
      <c r="B82" s="19" t="s">
        <v>101</v>
      </c>
      <c r="C82" s="157">
        <f t="dataTable" ref="C82:N85" dt2D="0" dtr="0" r1="C3"/>
        <v>773.85241942857147</v>
      </c>
      <c r="D82" s="157">
        <v>794.23794399999997</v>
      </c>
      <c r="E82" s="157">
        <v>853.15295520000006</v>
      </c>
      <c r="F82" s="157">
        <v>912.06796640000016</v>
      </c>
      <c r="G82" s="157">
        <v>970.98297760000014</v>
      </c>
      <c r="H82" s="157">
        <v>1029.8979888000001</v>
      </c>
      <c r="I82" s="157">
        <v>1048.8837085223367</v>
      </c>
      <c r="J82" s="157">
        <v>1125.3492803436429</v>
      </c>
      <c r="K82" s="157">
        <v>1197.6208408247423</v>
      </c>
      <c r="L82" s="157">
        <v>1265.6983899656354</v>
      </c>
      <c r="M82" s="157">
        <v>1329.5819277663227</v>
      </c>
      <c r="N82" s="158">
        <v>1389.2714542268041</v>
      </c>
    </row>
    <row r="83" spans="2:14" x14ac:dyDescent="0.2">
      <c r="B83" s="22" t="s">
        <v>102</v>
      </c>
      <c r="C83" s="155">
        <v>680.05979542857165</v>
      </c>
      <c r="D83" s="155">
        <v>685.83827200000007</v>
      </c>
      <c r="E83" s="155">
        <v>759.66784800000005</v>
      </c>
      <c r="F83" s="155">
        <v>783.5259440000001</v>
      </c>
      <c r="G83" s="155">
        <v>842.44095520000008</v>
      </c>
      <c r="H83" s="155">
        <v>901.35596640000017</v>
      </c>
      <c r="I83" s="155">
        <v>931.20795906725584</v>
      </c>
      <c r="J83" s="155">
        <v>976.32081934217001</v>
      </c>
      <c r="K83" s="155">
        <v>1076.0209309278353</v>
      </c>
      <c r="L83" s="155">
        <v>1170.4006395562101</v>
      </c>
      <c r="M83" s="155">
        <v>1259.4599452272951</v>
      </c>
      <c r="N83" s="156">
        <v>1343.19884794109</v>
      </c>
    </row>
    <row r="84" spans="2:14" x14ac:dyDescent="0.2">
      <c r="B84" s="22" t="s">
        <v>103</v>
      </c>
      <c r="C84" s="155">
        <v>1807.8776594285714</v>
      </c>
      <c r="D84" s="155">
        <v>1805.1994239999999</v>
      </c>
      <c r="E84" s="155">
        <v>1813.3741632000001</v>
      </c>
      <c r="F84" s="155">
        <v>1821.5489024000001</v>
      </c>
      <c r="G84" s="155">
        <v>1829.7236416000001</v>
      </c>
      <c r="H84" s="155">
        <v>1837.8983808</v>
      </c>
      <c r="I84" s="155">
        <v>1806.1438285223367</v>
      </c>
      <c r="J84" s="155">
        <v>1801.8862403436428</v>
      </c>
      <c r="K84" s="155">
        <v>1793.4346408247425</v>
      </c>
      <c r="L84" s="155">
        <v>1780.7890299656356</v>
      </c>
      <c r="M84" s="155">
        <v>1763.9494077663228</v>
      </c>
      <c r="N84" s="156">
        <v>1742.9157742268039</v>
      </c>
    </row>
    <row r="85" spans="2:14" x14ac:dyDescent="0.2">
      <c r="B85" s="137" t="s">
        <v>208</v>
      </c>
      <c r="C85" s="155">
        <v>602.10857142857139</v>
      </c>
      <c r="D85" s="155">
        <v>593.28</v>
      </c>
      <c r="E85" s="155">
        <v>587.92399999999998</v>
      </c>
      <c r="F85" s="155">
        <v>582.5680000000001</v>
      </c>
      <c r="G85" s="155">
        <v>577.21199999999999</v>
      </c>
      <c r="H85" s="155">
        <v>571.85599999999999</v>
      </c>
      <c r="I85" s="155">
        <v>566.5</v>
      </c>
      <c r="J85" s="155">
        <v>561.14400000000001</v>
      </c>
      <c r="K85" s="155">
        <v>555.78800000000001</v>
      </c>
      <c r="L85" s="155">
        <v>550.43200000000002</v>
      </c>
      <c r="M85" s="155">
        <v>545.07600000000002</v>
      </c>
      <c r="N85" s="156">
        <v>539.72</v>
      </c>
    </row>
    <row r="86" spans="2:14" x14ac:dyDescent="0.2">
      <c r="B86" s="137"/>
      <c r="C86" s="138"/>
      <c r="D86" s="138"/>
      <c r="E86" s="138"/>
      <c r="F86" s="138"/>
      <c r="G86" s="138"/>
      <c r="H86" s="138"/>
      <c r="I86" s="138"/>
      <c r="J86" s="138"/>
      <c r="K86" s="138"/>
      <c r="L86" s="138"/>
      <c r="M86" s="138"/>
      <c r="N86" s="139"/>
    </row>
    <row r="87" spans="2:14" x14ac:dyDescent="0.2">
      <c r="B87" s="154" t="str">
        <f>Overview!B56</f>
        <v>Strategy 4: 100% ZNZ</v>
      </c>
      <c r="C87" s="155">
        <f>Calculation!H114</f>
        <v>1404.1159723135436</v>
      </c>
      <c r="D87" s="155">
        <f>Calculation!I114</f>
        <v>1339.3555820953538</v>
      </c>
      <c r="E87" s="155">
        <f>Calculation!J114</f>
        <v>1326.6431490042801</v>
      </c>
      <c r="F87" s="155">
        <f>Calculation!K114</f>
        <v>1316.2678985152036</v>
      </c>
      <c r="G87" s="155">
        <f>Calculation!L114</f>
        <v>1305.0803135690157</v>
      </c>
      <c r="H87" s="155">
        <f>Calculation!M114</f>
        <v>1299.4876694956488</v>
      </c>
      <c r="I87" s="155">
        <f>Calculation!N114</f>
        <v>1208.353663394385</v>
      </c>
      <c r="J87" s="155">
        <f>Calculation!O114</f>
        <v>1227.2703301540723</v>
      </c>
      <c r="K87" s="155">
        <f>Calculation!P114</f>
        <v>1262.3589360000001</v>
      </c>
      <c r="L87" s="155">
        <f>Calculation!Q114</f>
        <v>1333.0902719999999</v>
      </c>
      <c r="M87" s="155">
        <f>Calculation!R114</f>
        <v>1403.8216080000002</v>
      </c>
      <c r="N87" s="156">
        <f>Calculation!S114</f>
        <v>1474.5529440000005</v>
      </c>
    </row>
    <row r="88" spans="2:14" x14ac:dyDescent="0.2">
      <c r="B88" s="19" t="s">
        <v>101</v>
      </c>
      <c r="C88" s="157">
        <f t="dataTable" ref="C88:N91" dt2D="0" dtr="0" r1="C3"/>
        <v>1404.1159723135436</v>
      </c>
      <c r="D88" s="157">
        <v>1339.3555820953538</v>
      </c>
      <c r="E88" s="157">
        <v>1326.6431490042801</v>
      </c>
      <c r="F88" s="157">
        <v>1316.2678985152036</v>
      </c>
      <c r="G88" s="157">
        <v>1305.0803135690157</v>
      </c>
      <c r="H88" s="157">
        <v>1299.4876694956488</v>
      </c>
      <c r="I88" s="157">
        <v>1208.353663394385</v>
      </c>
      <c r="J88" s="157">
        <v>1227.2703301540723</v>
      </c>
      <c r="K88" s="157">
        <v>1262.3589360000001</v>
      </c>
      <c r="L88" s="157">
        <v>1333.0902719999999</v>
      </c>
      <c r="M88" s="157">
        <v>1403.8216080000002</v>
      </c>
      <c r="N88" s="158">
        <v>1474.5529440000005</v>
      </c>
    </row>
    <row r="89" spans="2:14" x14ac:dyDescent="0.2">
      <c r="B89" s="22" t="s">
        <v>102</v>
      </c>
      <c r="C89" s="155">
        <v>1332.572183829257</v>
      </c>
      <c r="D89" s="155">
        <v>1258.576431842966</v>
      </c>
      <c r="E89" s="155">
        <v>1270.0175971269284</v>
      </c>
      <c r="F89" s="155">
        <v>1236.0946898453624</v>
      </c>
      <c r="G89" s="155">
        <v>1222.2205609503253</v>
      </c>
      <c r="H89" s="155">
        <v>1214.4705950134069</v>
      </c>
      <c r="I89" s="155">
        <v>1124.0260305845272</v>
      </c>
      <c r="J89" s="155">
        <v>1117.6024887557187</v>
      </c>
      <c r="K89" s="155">
        <v>1156.9690744945715</v>
      </c>
      <c r="L89" s="155">
        <v>1221.4924252800001</v>
      </c>
      <c r="M89" s="155">
        <v>1319.68501152</v>
      </c>
      <c r="N89" s="156">
        <v>1417.8775977600003</v>
      </c>
    </row>
    <row r="90" spans="2:14" ht="15" customHeight="1" x14ac:dyDescent="0.2">
      <c r="B90" s="22" t="s">
        <v>103</v>
      </c>
      <c r="C90" s="155">
        <v>2205.318285714286</v>
      </c>
      <c r="D90" s="155">
        <v>2147.3440000000001</v>
      </c>
      <c r="E90" s="155">
        <v>2115.826</v>
      </c>
      <c r="F90" s="155">
        <v>2084.3080000000004</v>
      </c>
      <c r="G90" s="155">
        <v>2052.79</v>
      </c>
      <c r="H90" s="155">
        <v>2021.2719999999999</v>
      </c>
      <c r="I90" s="155">
        <v>1907.3540000000003</v>
      </c>
      <c r="J90" s="155">
        <v>1875.8360000000007</v>
      </c>
      <c r="K90" s="155">
        <v>1844.3180000000007</v>
      </c>
      <c r="L90" s="155">
        <v>1812.8000000000002</v>
      </c>
      <c r="M90" s="155">
        <v>1781.2820000000002</v>
      </c>
      <c r="N90" s="156">
        <v>1749.7640000000006</v>
      </c>
    </row>
    <row r="91" spans="2:14" ht="15" customHeight="1" thickBot="1" x14ac:dyDescent="0.25">
      <c r="B91" s="159" t="s">
        <v>208</v>
      </c>
      <c r="C91" s="160">
        <v>2276.5942857142859</v>
      </c>
      <c r="D91" s="160">
        <v>2218.62</v>
      </c>
      <c r="E91" s="160">
        <v>2187.1019999999999</v>
      </c>
      <c r="F91" s="160">
        <v>2155.5840000000003</v>
      </c>
      <c r="G91" s="160">
        <v>2124.0659999999998</v>
      </c>
      <c r="H91" s="160">
        <v>2092.5479999999998</v>
      </c>
      <c r="I91" s="160">
        <v>2061.0300000000002</v>
      </c>
      <c r="J91" s="160">
        <v>2029.5120000000004</v>
      </c>
      <c r="K91" s="160">
        <v>1997.9940000000004</v>
      </c>
      <c r="L91" s="160">
        <v>1966.4759999999999</v>
      </c>
      <c r="M91" s="160">
        <v>1934.9580000000001</v>
      </c>
      <c r="N91" s="161">
        <v>1903.4400000000003</v>
      </c>
    </row>
    <row r="92" spans="2:14" ht="15" customHeight="1" thickBot="1" x14ac:dyDescent="0.25"/>
  </sheetData>
  <mergeCells count="7">
    <mergeCell ref="B42:N42"/>
    <mergeCell ref="B1:K1"/>
    <mergeCell ref="D3:K3"/>
    <mergeCell ref="B7:J7"/>
    <mergeCell ref="B13:J13"/>
    <mergeCell ref="B16:J16"/>
    <mergeCell ref="B29:J29"/>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383C-9CD8-4569-887F-FD88D2011649}">
  <sheetPr>
    <tabColor rgb="FFBFBFBF"/>
  </sheetPr>
  <dimension ref="B2:V116"/>
  <sheetViews>
    <sheetView showGridLines="0" zoomScale="70" zoomScaleNormal="70" workbookViewId="0">
      <selection activeCell="C46" sqref="C46"/>
    </sheetView>
  </sheetViews>
  <sheetFormatPr defaultColWidth="8.5703125" defaultRowHeight="12.75" x14ac:dyDescent="0.2"/>
  <cols>
    <col min="1" max="1" width="8.5703125" style="126"/>
    <col min="2" max="2" width="8.85546875" style="162" customWidth="1"/>
    <col min="3" max="3" width="53.42578125" style="126" customWidth="1"/>
    <col min="4" max="4" width="21.5703125" style="221" customWidth="1"/>
    <col min="5" max="5" width="29.140625" style="221" customWidth="1"/>
    <col min="6" max="6" width="23.85546875" style="222" customWidth="1"/>
    <col min="7" max="7" width="20.85546875" style="222" customWidth="1"/>
    <col min="8" max="8" width="13" style="126" customWidth="1"/>
    <col min="9" max="9" width="11.140625" style="126" customWidth="1"/>
    <col min="10" max="10" width="12.7109375" style="126" customWidth="1"/>
    <col min="11" max="21" width="11.140625" style="126" customWidth="1"/>
    <col min="22" max="16384" width="8.5703125" style="126"/>
  </cols>
  <sheetData>
    <row r="2" spans="2:19" ht="14.25" customHeight="1" x14ac:dyDescent="0.2">
      <c r="C2" s="163" t="s">
        <v>420</v>
      </c>
      <c r="D2" s="164"/>
      <c r="E2" s="165"/>
      <c r="F2" s="166"/>
      <c r="G2" s="166"/>
      <c r="H2" s="163"/>
      <c r="I2" s="167"/>
      <c r="J2" s="167"/>
      <c r="K2" s="167"/>
      <c r="L2" s="167"/>
      <c r="M2" s="167"/>
      <c r="N2" s="167"/>
      <c r="O2" s="167"/>
      <c r="P2" s="167"/>
      <c r="Q2" s="167"/>
      <c r="R2" s="167"/>
      <c r="S2" s="167"/>
    </row>
    <row r="3" spans="2:19" ht="14.25" customHeight="1" thickBot="1" x14ac:dyDescent="0.25">
      <c r="C3" s="168" t="s">
        <v>421</v>
      </c>
      <c r="D3" s="169" t="s">
        <v>171</v>
      </c>
      <c r="E3" s="170" t="s">
        <v>422</v>
      </c>
      <c r="F3" s="170" t="s">
        <v>423</v>
      </c>
      <c r="G3" s="171" t="s">
        <v>159</v>
      </c>
      <c r="H3" s="172">
        <v>2029</v>
      </c>
      <c r="I3" s="172">
        <v>2030</v>
      </c>
      <c r="J3" s="172">
        <v>2031</v>
      </c>
      <c r="K3" s="172">
        <v>2032</v>
      </c>
      <c r="L3" s="172">
        <v>2033</v>
      </c>
      <c r="M3" s="172">
        <v>2034</v>
      </c>
      <c r="N3" s="172">
        <v>2035</v>
      </c>
      <c r="O3" s="173">
        <v>2036</v>
      </c>
      <c r="P3" s="173">
        <v>2037</v>
      </c>
      <c r="Q3" s="172">
        <v>2038</v>
      </c>
      <c r="R3" s="172">
        <v>2039</v>
      </c>
      <c r="S3" s="172">
        <v>2040</v>
      </c>
    </row>
    <row r="4" spans="2:19" ht="14.25" customHeight="1" x14ac:dyDescent="0.2">
      <c r="B4" s="174"/>
      <c r="C4" s="175" t="s">
        <v>184</v>
      </c>
      <c r="D4" s="176"/>
      <c r="E4" s="177" t="s">
        <v>424</v>
      </c>
      <c r="F4" s="178" t="s">
        <v>425</v>
      </c>
      <c r="G4" s="179" t="s">
        <v>170</v>
      </c>
      <c r="H4" s="180">
        <f>Assumptions!$D$5*(1-INDEX(Assumptions!$B$11:$Z$18,MATCH($C$4,Assumptions!$B$11:$B$18,0),MATCH(H$3,Assumptions!$B$11:$Z$11,0)))</f>
        <v>87.701999999999998</v>
      </c>
      <c r="I4" s="180">
        <f>Assumptions!$D$5*(1-INDEX(Assumptions!$B$11:$Z$18,MATCH($C$4,Assumptions!$B$11:$B$18,0),MATCH(I$3,Assumptions!$B$11:$Z$11,0)))</f>
        <v>85.835999999999999</v>
      </c>
      <c r="J4" s="180">
        <f>Assumptions!$D$5*(1-INDEX(Assumptions!$B$11:$Z$18,MATCH($C$4,Assumptions!$B$11:$B$18,0),MATCH(J$3,Assumptions!$B$11:$Z$11,0)))</f>
        <v>81.730800000000002</v>
      </c>
      <c r="K4" s="180">
        <f>Assumptions!$D$5*(1-INDEX(Assumptions!$B$11:$Z$18,MATCH($C$4,Assumptions!$B$11:$B$18,0),MATCH(K$3,Assumptions!$B$11:$Z$11,0)))</f>
        <v>77.625599999999991</v>
      </c>
      <c r="L4" s="180">
        <f>Assumptions!$D$5*(1-INDEX(Assumptions!$B$11:$Z$18,MATCH($C$4,Assumptions!$B$11:$B$18,0),MATCH(L$3,Assumptions!$B$11:$Z$11,0)))</f>
        <v>73.520399999999995</v>
      </c>
      <c r="M4" s="180">
        <f>Assumptions!$D$5*(1-INDEX(Assumptions!$B$11:$Z$18,MATCH($C$4,Assumptions!$B$11:$B$18,0),MATCH(M$3,Assumptions!$B$11:$Z$11,0)))</f>
        <v>69.415199999999999</v>
      </c>
      <c r="N4" s="180">
        <f>Assumptions!$D$5*(1-INDEX(Assumptions!$B$11:$Z$18,MATCH($C$4,Assumptions!$B$11:$B$18,0),MATCH(N$3,Assumptions!$B$11:$Z$11,0)))</f>
        <v>65.309999999999988</v>
      </c>
      <c r="O4" s="180">
        <f>Assumptions!$D$5*(1-INDEX(Assumptions!$B$11:$Z$18,MATCH($C$4,Assumptions!$B$11:$B$18,0),MATCH(O$3,Assumptions!$B$11:$Z$11,0)))</f>
        <v>58.778999999999996</v>
      </c>
      <c r="P4" s="180">
        <f>Assumptions!$D$5*(1-INDEX(Assumptions!$B$11:$Z$18,MATCH($C$4,Assumptions!$B$11:$B$18,0),MATCH(P$3,Assumptions!$B$11:$Z$11,0)))</f>
        <v>52.248000000000005</v>
      </c>
      <c r="Q4" s="180">
        <f>Assumptions!$D$5*(1-INDEX(Assumptions!$B$11:$Z$18,MATCH($C$4,Assumptions!$B$11:$B$18,0),MATCH(Q$3,Assumptions!$B$11:$Z$11,0)))</f>
        <v>45.716999999999999</v>
      </c>
      <c r="R4" s="180">
        <f>Assumptions!$D$5*(1-INDEX(Assumptions!$B$11:$Z$18,MATCH($C$4,Assumptions!$B$11:$B$18,0),MATCH(R$3,Assumptions!$B$11:$Z$11,0)))</f>
        <v>39.186</v>
      </c>
      <c r="S4" s="180">
        <f>Assumptions!$D$5*(1-INDEX(Assumptions!$B$11:$Z$18,MATCH($C$4,Assumptions!$B$11:$B$18,0),MATCH(S$3,Assumptions!$B$11:$Z$11,0)))</f>
        <v>32.654999999999994</v>
      </c>
    </row>
    <row r="5" spans="2:19" ht="14.25" customHeight="1" x14ac:dyDescent="0.2">
      <c r="B5" s="181"/>
      <c r="C5" s="182" t="s">
        <v>187</v>
      </c>
      <c r="D5" s="183"/>
      <c r="E5" s="184" t="s">
        <v>424</v>
      </c>
      <c r="F5" s="185"/>
      <c r="G5" s="186" t="s">
        <v>170</v>
      </c>
      <c r="H5" s="180">
        <f>Assumptions!$D$5*(1-INDEX(Assumptions!$B$11:$Z$18,MATCH($C$5,Assumptions!$B$11:$B$18,0),MATCH(H$3,Assumptions!$B$11:$Z$11,0)))</f>
        <v>75.573000000000008</v>
      </c>
      <c r="I5" s="180">
        <f>Assumptions!$D$5*(1-INDEX(Assumptions!$B$11:$Z$18,MATCH($C$5,Assumptions!$B$11:$B$18,0),MATCH(I$3,Assumptions!$B$11:$Z$11,0)))</f>
        <v>73.707000000000008</v>
      </c>
      <c r="J5" s="180">
        <f>Assumptions!$D$5*(1-INDEX(Assumptions!$B$11:$Z$18,MATCH($C$5,Assumptions!$B$11:$B$18,0),MATCH(J$3,Assumptions!$B$11:$Z$11,0)))</f>
        <v>69.601799999999997</v>
      </c>
      <c r="K5" s="180">
        <f>Assumptions!$D$5*(1-INDEX(Assumptions!$B$11:$Z$18,MATCH($C$5,Assumptions!$B$11:$B$18,0),MATCH(K$3,Assumptions!$B$11:$Z$11,0)))</f>
        <v>65.496600000000001</v>
      </c>
      <c r="L5" s="180">
        <f>Assumptions!$D$5*(1-INDEX(Assumptions!$B$11:$Z$18,MATCH($C$5,Assumptions!$B$11:$B$18,0),MATCH(L$3,Assumptions!$B$11:$Z$11,0)))</f>
        <v>61.39139999999999</v>
      </c>
      <c r="M5" s="180">
        <f>Assumptions!$D$5*(1-INDEX(Assumptions!$B$11:$Z$18,MATCH($C$5,Assumptions!$B$11:$B$18,0),MATCH(M$3,Assumptions!$B$11:$Z$11,0)))</f>
        <v>57.286199999999994</v>
      </c>
      <c r="N5" s="180">
        <f>Assumptions!$D$5*(1-INDEX(Assumptions!$B$11:$Z$18,MATCH($C$5,Assumptions!$B$11:$B$18,0),MATCH(N$3,Assumptions!$B$11:$Z$11,0)))</f>
        <v>53.181000000000004</v>
      </c>
      <c r="O5" s="180">
        <f>Assumptions!$D$5*(1-INDEX(Assumptions!$B$11:$Z$18,MATCH($C$5,Assumptions!$B$11:$B$18,0),MATCH(O$3,Assumptions!$B$11:$Z$11,0)))</f>
        <v>46.65</v>
      </c>
      <c r="P5" s="180">
        <f>Assumptions!$D$5*(1-INDEX(Assumptions!$B$11:$Z$18,MATCH($C$5,Assumptions!$B$11:$B$18,0),MATCH(P$3,Assumptions!$B$11:$Z$11,0)))</f>
        <v>40.119000000000007</v>
      </c>
      <c r="Q5" s="180">
        <f>Assumptions!$D$5*(1-INDEX(Assumptions!$B$11:$Z$18,MATCH($C$5,Assumptions!$B$11:$B$18,0),MATCH(Q$3,Assumptions!$B$11:$Z$11,0)))</f>
        <v>33.588000000000001</v>
      </c>
      <c r="R5" s="180">
        <f>Assumptions!$D$5*(1-INDEX(Assumptions!$B$11:$Z$18,MATCH($C$5,Assumptions!$B$11:$B$18,0),MATCH(R$3,Assumptions!$B$11:$Z$11,0)))</f>
        <v>27.057000000000002</v>
      </c>
      <c r="S5" s="180">
        <f>Assumptions!$D$5*(1-INDEX(Assumptions!$B$11:$Z$18,MATCH($C$5,Assumptions!$B$11:$B$18,0),MATCH(S$3,Assumptions!$B$11:$Z$11,0)))</f>
        <v>20.525999999999996</v>
      </c>
    </row>
    <row r="6" spans="2:19" ht="14.25" customHeight="1" x14ac:dyDescent="0.2">
      <c r="B6" s="181"/>
      <c r="C6" s="182" t="s">
        <v>426</v>
      </c>
      <c r="D6" s="187" t="str">
        <f>Input!C7</f>
        <v>Reward $100</v>
      </c>
      <c r="E6" s="184" t="s">
        <v>427</v>
      </c>
      <c r="F6" s="186"/>
      <c r="G6" s="186" t="s">
        <v>428</v>
      </c>
      <c r="H6" s="188">
        <f>IF(Proposals!$H$9&lt;&gt;"Yes",0,IF(OR(AND(H3&lt;2035,H35&lt;=19),AND(H3&gt;2034,H35&lt;=14)),INDEX(Assumptions!$B$11:$Z$19,MATCH($D$6,Assumptions!$B$11:$B$19,0),MATCH(H$3,Assumptions!$B$11:$Z$11,0)),0))</f>
        <v>100</v>
      </c>
      <c r="I6" s="188">
        <f>IF(Proposals!$H$9&lt;&gt;"Yes",0,IF(OR(AND(I3&lt;2035,I35&lt;=19),AND(I3&gt;2034,I35&lt;=14)),INDEX(Assumptions!$B$11:$Z$19,MATCH($D$6,Assumptions!$B$11:$B$19,0),MATCH(I$3,Assumptions!$B$11:$Z$11,0)),0))</f>
        <v>100</v>
      </c>
      <c r="J6" s="188">
        <f>IF(Proposals!$H$9&lt;&gt;"Yes",0,IF(OR(AND(J3&lt;2035,J35&lt;=19),AND(J3&gt;2034,J35&lt;=14)),INDEX(Assumptions!$B$11:$Z$19,MATCH($D$6,Assumptions!$B$11:$B$19,0),MATCH(J$3,Assumptions!$B$11:$Z$11,0)),0))</f>
        <v>100</v>
      </c>
      <c r="K6" s="188">
        <f>IF(Proposals!$H$9&lt;&gt;"Yes",0,IF(OR(AND(K3&lt;2035,K35&lt;=19),AND(K3&gt;2034,K35&lt;=14)),INDEX(Assumptions!$B$11:$Z$19,MATCH($D$6,Assumptions!$B$11:$B$19,0),MATCH(K$3,Assumptions!$B$11:$Z$11,0)),0))</f>
        <v>100</v>
      </c>
      <c r="L6" s="188">
        <f>IF(Proposals!$H$9&lt;&gt;"Yes",0,IF(OR(AND(L3&lt;2035,L35&lt;=19),AND(L3&gt;2034,L35&lt;=14)),INDEX(Assumptions!$B$11:$Z$19,MATCH($D$6,Assumptions!$B$11:$B$19,0),MATCH(L$3,Assumptions!$B$11:$Z$11,0)),0))</f>
        <v>100</v>
      </c>
      <c r="M6" s="188">
        <f>IF(Proposals!$H$9&lt;&gt;"Yes",0,IF(OR(AND(M3&lt;2035,M35&lt;=19),AND(M3&gt;2034,M35&lt;=14)),INDEX(Assumptions!$B$11:$Z$19,MATCH($D$6,Assumptions!$B$11:$B$19,0),MATCH(M$3,Assumptions!$B$11:$Z$11,0)),0))</f>
        <v>100</v>
      </c>
      <c r="N6" s="188">
        <f>IF(Proposals!$H$9&lt;&gt;"Yes",0,IF(OR(AND(N3&lt;2035,N35&lt;=19),AND(N3&gt;2034,N35&lt;=14)),INDEX(Assumptions!$B$11:$Z$19,MATCH($D$6,Assumptions!$B$11:$B$19,0),MATCH(N$3,Assumptions!$B$11:$Z$11,0)),0))</f>
        <v>100</v>
      </c>
      <c r="O6" s="188">
        <f>IF(Proposals!$H$9&lt;&gt;"Yes",0,IF(OR(AND(O3&lt;2035,O35&lt;=19),AND(O3&gt;2034,O35&lt;=14)),INDEX(Assumptions!$B$11:$Z$19,MATCH($D$6,Assumptions!$B$11:$B$19,0),MATCH(O$3,Assumptions!$B$11:$Z$11,0)),0))</f>
        <v>100</v>
      </c>
      <c r="P6" s="188">
        <f>IF(Proposals!$H$9&lt;&gt;"Yes",0,IF(OR(AND(P3&lt;2035,P35&lt;=19),AND(P3&gt;2034,P35&lt;=14)),INDEX(Assumptions!$B$11:$Z$19,MATCH($D$6,Assumptions!$B$11:$B$19,0),MATCH(P$3,Assumptions!$B$11:$Z$11,0)),0))</f>
        <v>100</v>
      </c>
      <c r="Q6" s="188">
        <f>IF(Proposals!$H$9&lt;&gt;"Yes",0,IF(OR(AND(Q3&lt;2035,Q35&lt;=19),AND(Q3&gt;2034,Q35&lt;=14)),INDEX(Assumptions!$B$11:$Z$19,MATCH($D$6,Assumptions!$B$11:$B$19,0),MATCH(Q$3,Assumptions!$B$11:$Z$11,0)),0))</f>
        <v>100</v>
      </c>
      <c r="R6" s="188">
        <f>IF(Proposals!$H$9&lt;&gt;"Yes",0,IF(OR(AND(R3&lt;2035,R35&lt;=19),AND(R3&gt;2034,R35&lt;=14)),INDEX(Assumptions!$B$11:$Z$19,MATCH($D$6,Assumptions!$B$11:$B$19,0),MATCH(R$3,Assumptions!$B$11:$Z$11,0)),0))</f>
        <v>100</v>
      </c>
      <c r="S6" s="188">
        <f>IF(Proposals!$H$9&lt;&gt;"Yes",0,IF(OR(AND(S3&lt;2035,S35&lt;=19),AND(S3&gt;2034,S35&lt;=14)),INDEX(Assumptions!$B$11:$Z$19,MATCH($D$6,Assumptions!$B$11:$B$19,0),MATCH(S$3,Assumptions!$B$11:$Z$11,0)),0))</f>
        <v>100</v>
      </c>
    </row>
    <row r="7" spans="2:19" ht="14.25" customHeight="1" x14ac:dyDescent="0.2">
      <c r="B7" s="189"/>
      <c r="C7" s="190" t="s">
        <v>429</v>
      </c>
      <c r="D7" s="191"/>
      <c r="E7" s="192"/>
      <c r="F7" s="193"/>
      <c r="G7" s="193" t="s">
        <v>428</v>
      </c>
      <c r="H7" s="188">
        <f t="shared" ref="H7:S7" si="0">H$5</f>
        <v>75.573000000000008</v>
      </c>
      <c r="I7" s="188">
        <f t="shared" si="0"/>
        <v>73.707000000000008</v>
      </c>
      <c r="J7" s="188">
        <f t="shared" si="0"/>
        <v>69.601799999999997</v>
      </c>
      <c r="K7" s="188">
        <f t="shared" si="0"/>
        <v>65.496600000000001</v>
      </c>
      <c r="L7" s="188">
        <f t="shared" si="0"/>
        <v>61.39139999999999</v>
      </c>
      <c r="M7" s="188">
        <f t="shared" si="0"/>
        <v>57.286199999999994</v>
      </c>
      <c r="N7" s="188">
        <f t="shared" si="0"/>
        <v>53.181000000000004</v>
      </c>
      <c r="O7" s="188">
        <f t="shared" si="0"/>
        <v>46.65</v>
      </c>
      <c r="P7" s="188">
        <f t="shared" si="0"/>
        <v>40.119000000000007</v>
      </c>
      <c r="Q7" s="188">
        <f t="shared" si="0"/>
        <v>33.588000000000001</v>
      </c>
      <c r="R7" s="188">
        <f t="shared" si="0"/>
        <v>27.057000000000002</v>
      </c>
      <c r="S7" s="188">
        <f t="shared" si="0"/>
        <v>20.525999999999996</v>
      </c>
    </row>
    <row r="8" spans="2:19" ht="14.25" customHeight="1" x14ac:dyDescent="0.2">
      <c r="B8" s="61" t="s">
        <v>430</v>
      </c>
      <c r="C8" s="182" t="s">
        <v>431</v>
      </c>
      <c r="D8" s="62" t="str">
        <f>Proposals!H10</f>
        <v>No</v>
      </c>
      <c r="E8" s="194" t="s">
        <v>432</v>
      </c>
      <c r="F8" s="195" t="s">
        <v>433</v>
      </c>
      <c r="G8" s="186" t="s">
        <v>434</v>
      </c>
      <c r="H8" s="196"/>
      <c r="I8" s="196"/>
      <c r="J8" s="196"/>
      <c r="K8" s="196"/>
      <c r="L8" s="196"/>
      <c r="M8" s="196"/>
      <c r="N8" s="196"/>
      <c r="O8" s="196"/>
      <c r="P8" s="196"/>
      <c r="Q8" s="196"/>
      <c r="R8" s="196"/>
      <c r="S8" s="196"/>
    </row>
    <row r="9" spans="2:19" ht="14.25" customHeight="1" x14ac:dyDescent="0.2">
      <c r="B9" s="27"/>
      <c r="C9" s="197"/>
      <c r="D9" s="28"/>
      <c r="E9" s="198"/>
      <c r="F9" s="199"/>
      <c r="G9" s="200"/>
      <c r="H9" s="196"/>
      <c r="I9" s="196"/>
      <c r="J9" s="196"/>
      <c r="K9" s="196"/>
      <c r="L9" s="196"/>
      <c r="M9" s="196"/>
      <c r="N9" s="196"/>
      <c r="O9" s="196"/>
      <c r="P9" s="196"/>
      <c r="Q9" s="196"/>
      <c r="R9" s="196"/>
      <c r="S9" s="196"/>
    </row>
    <row r="10" spans="2:19" ht="14.25" customHeight="1" x14ac:dyDescent="0.2">
      <c r="C10" s="163" t="s">
        <v>435</v>
      </c>
      <c r="D10" s="164"/>
      <c r="E10" s="165"/>
      <c r="F10" s="166"/>
      <c r="G10" s="166"/>
      <c r="H10" s="201"/>
      <c r="I10" s="201"/>
      <c r="J10" s="201"/>
      <c r="K10" s="201"/>
      <c r="L10" s="201"/>
      <c r="M10" s="201"/>
      <c r="N10" s="201"/>
      <c r="O10" s="201"/>
      <c r="P10" s="201"/>
      <c r="Q10" s="201"/>
      <c r="R10" s="201"/>
      <c r="S10" s="201"/>
    </row>
    <row r="11" spans="2:19" ht="14.25" customHeight="1" x14ac:dyDescent="0.2">
      <c r="C11" s="202" t="s">
        <v>436</v>
      </c>
      <c r="D11" s="203" t="s">
        <v>437</v>
      </c>
      <c r="E11" s="204" t="s">
        <v>422</v>
      </c>
      <c r="F11" s="204" t="s">
        <v>423</v>
      </c>
      <c r="G11" s="205" t="s">
        <v>159</v>
      </c>
      <c r="H11" s="206">
        <v>2029</v>
      </c>
      <c r="I11" s="206">
        <v>2030</v>
      </c>
      <c r="J11" s="206">
        <v>2031</v>
      </c>
      <c r="K11" s="206">
        <v>2032</v>
      </c>
      <c r="L11" s="206">
        <v>2033</v>
      </c>
      <c r="M11" s="206">
        <v>2034</v>
      </c>
      <c r="N11" s="206">
        <v>2035</v>
      </c>
      <c r="O11" s="207">
        <v>2036</v>
      </c>
      <c r="P11" s="207">
        <v>2037</v>
      </c>
      <c r="Q11" s="206">
        <v>2038</v>
      </c>
      <c r="R11" s="206">
        <v>2039</v>
      </c>
      <c r="S11" s="206">
        <v>2040</v>
      </c>
    </row>
    <row r="12" spans="2:19" ht="14.25" customHeight="1" x14ac:dyDescent="0.2">
      <c r="B12" s="208" t="s">
        <v>161</v>
      </c>
      <c r="C12" s="175" t="s">
        <v>438</v>
      </c>
      <c r="D12" s="209" t="s">
        <v>161</v>
      </c>
      <c r="E12" s="177"/>
      <c r="F12" s="210"/>
      <c r="G12" s="179" t="s">
        <v>170</v>
      </c>
      <c r="H12" s="211">
        <f>INDEX(Assumptions!$B$3:$L$6,MATCH(Assumptions!$B$5,Assumptions!$B$3:$B$6,0),MATCH($D12,Assumptions!$B$3:$L$3,0))</f>
        <v>95.48</v>
      </c>
      <c r="I12" s="211">
        <f>INDEX(Assumptions!$B$3:$L$6,MATCH(Assumptions!$B$5,Assumptions!$B$3:$B$6,0),MATCH($D12,Assumptions!$B$3:$L$3,0))</f>
        <v>95.48</v>
      </c>
      <c r="J12" s="211">
        <f>INDEX(Assumptions!$B$3:$L$6,MATCH(Assumptions!$B$5,Assumptions!$B$3:$B$6,0),MATCH($D12,Assumptions!$B$3:$L$3,0))</f>
        <v>95.48</v>
      </c>
      <c r="K12" s="211">
        <f>INDEX(Assumptions!$B$3:$L$6,MATCH(Assumptions!$B$5,Assumptions!$B$3:$B$6,0),MATCH($D12,Assumptions!$B$3:$L$3,0))</f>
        <v>95.48</v>
      </c>
      <c r="L12" s="211">
        <f>INDEX(Assumptions!$B$3:$L$6,MATCH(Assumptions!$B$5,Assumptions!$B$3:$B$6,0),MATCH($D12,Assumptions!$B$3:$L$3,0))</f>
        <v>95.48</v>
      </c>
      <c r="M12" s="211">
        <f>INDEX(Assumptions!$B$3:$L$6,MATCH(Assumptions!$B$5,Assumptions!$B$3:$B$6,0),MATCH($D12,Assumptions!$B$3:$L$3,0))</f>
        <v>95.48</v>
      </c>
      <c r="N12" s="211">
        <f>INDEX(Assumptions!$B$3:$L$6,MATCH(Assumptions!$B$5,Assumptions!$B$3:$B$6,0),MATCH($D12,Assumptions!$B$3:$L$3,0))</f>
        <v>95.48</v>
      </c>
      <c r="O12" s="211">
        <f>INDEX(Assumptions!$B$3:$L$6,MATCH(Assumptions!$B$5,Assumptions!$B$3:$B$6,0),MATCH($D12,Assumptions!$B$3:$L$3,0))</f>
        <v>95.48</v>
      </c>
      <c r="P12" s="211">
        <f>INDEX(Assumptions!$B$3:$L$6,MATCH(Assumptions!$B$5,Assumptions!$B$3:$B$6,0),MATCH($D12,Assumptions!$B$3:$L$3,0))</f>
        <v>95.48</v>
      </c>
      <c r="Q12" s="211">
        <f>INDEX(Assumptions!$B$3:$L$6,MATCH(Assumptions!$B$5,Assumptions!$B$3:$B$6,0),MATCH($D12,Assumptions!$B$3:$L$3,0))</f>
        <v>95.48</v>
      </c>
      <c r="R12" s="211">
        <f>INDEX(Assumptions!$B$3:$L$6,MATCH(Assumptions!$B$5,Assumptions!$B$3:$B$6,0),MATCH($D12,Assumptions!$B$3:$L$3,0))</f>
        <v>95.48</v>
      </c>
      <c r="S12" s="211">
        <f>INDEX(Assumptions!$B$3:$L$6,MATCH(Assumptions!$B$5,Assumptions!$B$3:$B$6,0),MATCH($D12,Assumptions!$B$3:$L$3,0))</f>
        <v>95.48</v>
      </c>
    </row>
    <row r="13" spans="2:19" ht="14.25" customHeight="1" x14ac:dyDescent="0.2">
      <c r="B13" s="212"/>
      <c r="C13" s="182" t="s">
        <v>439</v>
      </c>
      <c r="D13" s="213"/>
      <c r="E13" s="184" t="s">
        <v>440</v>
      </c>
      <c r="F13" s="186" t="s">
        <v>441</v>
      </c>
      <c r="G13" s="186" t="s">
        <v>442</v>
      </c>
      <c r="H13" s="214">
        <f t="shared" ref="H13:S13" si="1">H12/1000</f>
        <v>9.5480000000000009E-2</v>
      </c>
      <c r="I13" s="214">
        <f t="shared" si="1"/>
        <v>9.5480000000000009E-2</v>
      </c>
      <c r="J13" s="214">
        <f t="shared" si="1"/>
        <v>9.5480000000000009E-2</v>
      </c>
      <c r="K13" s="214">
        <f t="shared" si="1"/>
        <v>9.5480000000000009E-2</v>
      </c>
      <c r="L13" s="214">
        <f t="shared" si="1"/>
        <v>9.5480000000000009E-2</v>
      </c>
      <c r="M13" s="214">
        <f t="shared" si="1"/>
        <v>9.5480000000000009E-2</v>
      </c>
      <c r="N13" s="214">
        <f t="shared" si="1"/>
        <v>9.5480000000000009E-2</v>
      </c>
      <c r="O13" s="214">
        <f t="shared" si="1"/>
        <v>9.5480000000000009E-2</v>
      </c>
      <c r="P13" s="214">
        <f t="shared" si="1"/>
        <v>9.5480000000000009E-2</v>
      </c>
      <c r="Q13" s="214">
        <f t="shared" si="1"/>
        <v>9.5480000000000009E-2</v>
      </c>
      <c r="R13" s="214">
        <f t="shared" si="1"/>
        <v>9.5480000000000009E-2</v>
      </c>
      <c r="S13" s="214">
        <f t="shared" si="1"/>
        <v>9.5480000000000009E-2</v>
      </c>
    </row>
    <row r="14" spans="2:19" ht="15" customHeight="1" x14ac:dyDescent="0.2">
      <c r="B14" s="212"/>
      <c r="C14" s="182" t="s">
        <v>443</v>
      </c>
      <c r="D14" s="213"/>
      <c r="E14" s="184" t="s">
        <v>444</v>
      </c>
      <c r="F14" s="186" t="s">
        <v>445</v>
      </c>
      <c r="G14" s="186" t="s">
        <v>446</v>
      </c>
      <c r="H14" s="214">
        <f>(H12-H$4)*Assumptions!$E$6</f>
        <v>0.32045360000000023</v>
      </c>
      <c r="I14" s="214">
        <f>(I12-I$4)*Assumptions!$E$6</f>
        <v>0.39733280000000021</v>
      </c>
      <c r="J14" s="214">
        <f>(J12-J$4)*Assumptions!$E$6</f>
        <v>0.56646704000000003</v>
      </c>
      <c r="K14" s="214">
        <f>(K12-K$4)*Assumptions!$E$6</f>
        <v>0.73560128000000047</v>
      </c>
      <c r="L14" s="214">
        <f>(L12-L$4)*Assumptions!$E$6</f>
        <v>0.90473552000000035</v>
      </c>
      <c r="M14" s="214">
        <f>(M12-M$4)*Assumptions!$E$6</f>
        <v>1.0738697600000002</v>
      </c>
      <c r="N14" s="214">
        <f>(N12-N$4)*Assumptions!$E$6</f>
        <v>1.2430040000000007</v>
      </c>
      <c r="O14" s="214">
        <f>(O12-O$4)*Assumptions!$E$6</f>
        <v>1.5120812000000003</v>
      </c>
      <c r="P14" s="214">
        <f>(P12-P$4)*Assumptions!$E$6</f>
        <v>1.7811584</v>
      </c>
      <c r="Q14" s="214">
        <f>(Q12-Q$4)*Assumptions!$E$6</f>
        <v>2.0502356000000002</v>
      </c>
      <c r="R14" s="214">
        <f>(R12-R$4)*Assumptions!$E$6</f>
        <v>2.3193128000000001</v>
      </c>
      <c r="S14" s="214">
        <f>(S12-S$4)*Assumptions!$E$6</f>
        <v>2.5883900000000004</v>
      </c>
    </row>
    <row r="15" spans="2:19" ht="15" customHeight="1" x14ac:dyDescent="0.2">
      <c r="B15" s="212"/>
      <c r="C15" s="182" t="s">
        <v>447</v>
      </c>
      <c r="D15" s="183"/>
      <c r="E15" s="184" t="s">
        <v>448</v>
      </c>
      <c r="F15" s="186" t="s">
        <v>449</v>
      </c>
      <c r="G15" s="186" t="s">
        <v>446</v>
      </c>
      <c r="H15" s="214">
        <f>MIN(MAX(0,(H$12-H$5)),(H$4-H$5))*Assumptions!$E$6</f>
        <v>0.49971479999999963</v>
      </c>
      <c r="I15" s="214">
        <f>MIN(MAX(0,(I$12-I$5)),(I$4-I$5))*Assumptions!$E$6</f>
        <v>0.49971479999999963</v>
      </c>
      <c r="J15" s="214">
        <f>MIN(MAX(0,(J$12-J$5)),(J$4-J$5))*Assumptions!$E$6</f>
        <v>0.49971480000000018</v>
      </c>
      <c r="K15" s="214">
        <f>MIN(MAX(0,(K$12-K$5)),(K$4-K$5))*Assumptions!$E$6</f>
        <v>0.49971479999999963</v>
      </c>
      <c r="L15" s="214">
        <f>MIN(MAX(0,(L$12-L$5)),(L$4-L$5))*Assumptions!$E$6</f>
        <v>0.49971480000000018</v>
      </c>
      <c r="M15" s="214">
        <f>MIN(MAX(0,(M$12-M$5)),(M$4-M$5))*Assumptions!$E$6</f>
        <v>0.49971480000000018</v>
      </c>
      <c r="N15" s="214">
        <f>MIN(MAX(0,(N$12-N$5)),(N$4-N$5))*Assumptions!$E$6</f>
        <v>0.49971479999999935</v>
      </c>
      <c r="O15" s="214">
        <f>MIN(MAX(0,(O$12-O$5)),(O$4-O$5))*Assumptions!$E$6</f>
        <v>0.4997147999999999</v>
      </c>
      <c r="P15" s="214">
        <f>MIN(MAX(0,(P$12-P$5)),(P$4-P$5))*Assumptions!$E$6</f>
        <v>0.4997147999999999</v>
      </c>
      <c r="Q15" s="214">
        <f>MIN(MAX(0,(Q$12-Q$5)),(Q$4-Q$5))*Assumptions!$E$6</f>
        <v>0.4997147999999999</v>
      </c>
      <c r="R15" s="214">
        <f>MIN(MAX(0,(R$12-R$5)),(R$4-R$5))*Assumptions!$E$6</f>
        <v>0.4997147999999999</v>
      </c>
      <c r="S15" s="214">
        <f>MIN(MAX(0,(S$12-S$5)),(S$4-S$5))*Assumptions!$E$6</f>
        <v>0.4997147999999999</v>
      </c>
    </row>
    <row r="16" spans="2:19" ht="14.25" customHeight="1" x14ac:dyDescent="0.2">
      <c r="B16" s="212"/>
      <c r="C16" s="182" t="s">
        <v>450</v>
      </c>
      <c r="D16" s="215" t="str">
        <f>Input!$C$10</f>
        <v>Use CIA Assumption</v>
      </c>
      <c r="E16" s="184" t="s">
        <v>427</v>
      </c>
      <c r="F16" s="186"/>
      <c r="G16" s="186" t="s">
        <v>200</v>
      </c>
      <c r="H16" s="214">
        <f>IF($D$16="Enter fixed price",Input!$C$11/(Assumptions!$E$6*1000),INDEX(Assumptions!$B$20:$Z$27,2,MATCH(H$3,Assumptions!$B$20:$Z$20,0)))</f>
        <v>14.614285714285714</v>
      </c>
      <c r="I16" s="214">
        <f>IF($D$16="Enter fixed price",Input!$C$11/(Assumptions!$E$6*1000),INDEX(Assumptions!$B$20:$Z$27,2,MATCH(I$3,Assumptions!$B$20:$Z$20,0)))</f>
        <v>14.4</v>
      </c>
      <c r="J16" s="214">
        <f>IF($D$16="Enter fixed price",Input!$C$11/(Assumptions!$E$6*1000),INDEX(Assumptions!$B$20:$Z$27,2,MATCH(J$3,Assumptions!$B$20:$Z$20,0)))</f>
        <v>14.27</v>
      </c>
      <c r="K16" s="214">
        <f>IF($D$16="Enter fixed price",Input!$C$11/(Assumptions!$E$6*1000),INDEX(Assumptions!$B$20:$Z$27,2,MATCH(K$3,Assumptions!$B$20:$Z$20,0)))</f>
        <v>14.14</v>
      </c>
      <c r="L16" s="214">
        <f>IF($D$16="Enter fixed price",Input!$C$11/(Assumptions!$E$6*1000),INDEX(Assumptions!$B$20:$Z$27,2,MATCH(L$3,Assumptions!$B$20:$Z$20,0)))</f>
        <v>14.01</v>
      </c>
      <c r="M16" s="214">
        <f>IF($D$16="Enter fixed price",Input!$C$11/(Assumptions!$E$6*1000),INDEX(Assumptions!$B$20:$Z$27,2,MATCH(M$3,Assumptions!$B$20:$Z$20,0)))</f>
        <v>13.88</v>
      </c>
      <c r="N16" s="214">
        <f>IF($D$16="Enter fixed price",Input!$C$11/(Assumptions!$E$6*1000),INDEX(Assumptions!$B$20:$Z$27,2,MATCH(N$3,Assumptions!$B$20:$Z$20,0)))</f>
        <v>13.75</v>
      </c>
      <c r="O16" s="214">
        <f>IF($D$16="Enter fixed price",Input!$C$11/(Assumptions!$E$6*1000),INDEX(Assumptions!$B$20:$Z$27,2,MATCH(O$3,Assumptions!$B$20:$Z$20,0)))</f>
        <v>13.62</v>
      </c>
      <c r="P16" s="214">
        <f>IF($D$16="Enter fixed price",Input!$C$11/(Assumptions!$E$6*1000),INDEX(Assumptions!$B$20:$Z$27,2,MATCH(P$3,Assumptions!$B$20:$Z$20,0)))</f>
        <v>13.49</v>
      </c>
      <c r="Q16" s="214">
        <f>IF($D$16="Enter fixed price",Input!$C$11/(Assumptions!$E$6*1000),INDEX(Assumptions!$B$20:$Z$27,2,MATCH(Q$3,Assumptions!$B$20:$Z$20,0)))</f>
        <v>13.36</v>
      </c>
      <c r="R16" s="214">
        <f>IF($D$16="Enter fixed price",Input!$C$11/(Assumptions!$E$6*1000),INDEX(Assumptions!$B$20:$Z$27,2,MATCH(R$3,Assumptions!$B$20:$Z$20,0)))</f>
        <v>13.23</v>
      </c>
      <c r="S16" s="214">
        <f>IF($D$16="Enter fixed price",Input!$C$11/(Assumptions!$E$6*1000),INDEX(Assumptions!$B$20:$Z$27,2,MATCH(S$3,Assumptions!$B$20:$Z$20,0)))</f>
        <v>13.1</v>
      </c>
    </row>
    <row r="17" spans="2:19" ht="14.25" customHeight="1" x14ac:dyDescent="0.2">
      <c r="B17" s="212"/>
      <c r="C17" s="182" t="s">
        <v>451</v>
      </c>
      <c r="D17" s="213"/>
      <c r="E17" s="184" t="s">
        <v>452</v>
      </c>
      <c r="F17" s="186" t="s">
        <v>453</v>
      </c>
      <c r="G17" s="186" t="s">
        <v>454</v>
      </c>
      <c r="H17" s="214">
        <f>H14*Assumptions!E$14</f>
        <v>121.77236800000009</v>
      </c>
      <c r="I17" s="214">
        <f>I14*Assumptions!F$14</f>
        <v>150.98646400000007</v>
      </c>
      <c r="J17" s="214">
        <f>J14*Assumptions!G$14</f>
        <v>215.25747520000002</v>
      </c>
      <c r="K17" s="214">
        <f>K14*Assumptions!H$14</f>
        <v>279.52848640000019</v>
      </c>
      <c r="L17" s="214">
        <f>L14*Assumptions!I$14</f>
        <v>343.79949760000011</v>
      </c>
      <c r="M17" s="214">
        <f>M14*Assumptions!J$14</f>
        <v>408.07050880000008</v>
      </c>
      <c r="N17" s="214">
        <f>N14*Assumptions!K$14</f>
        <v>472.34152000000023</v>
      </c>
      <c r="O17" s="214">
        <f>O14*Assumptions!L$14</f>
        <v>574.59085600000014</v>
      </c>
      <c r="P17" s="214">
        <f>P14*Assumptions!M$14</f>
        <v>676.840192</v>
      </c>
      <c r="Q17" s="214">
        <f>Q14*Assumptions!N$14</f>
        <v>779.08952800000009</v>
      </c>
      <c r="R17" s="214">
        <f>R14*Assumptions!O$14</f>
        <v>881.33886400000006</v>
      </c>
      <c r="S17" s="214">
        <f>S14*Assumptions!P$14</f>
        <v>983.58820000000014</v>
      </c>
    </row>
    <row r="18" spans="2:19" ht="14.25" customHeight="1" x14ac:dyDescent="0.2">
      <c r="B18" s="212"/>
      <c r="C18" s="182" t="s">
        <v>455</v>
      </c>
      <c r="D18" s="213"/>
      <c r="E18" s="184" t="s">
        <v>452</v>
      </c>
      <c r="F18" s="186" t="s">
        <v>453</v>
      </c>
      <c r="G18" s="186" t="s">
        <v>454</v>
      </c>
      <c r="H18" s="214">
        <f>H15*Assumptions!E$15</f>
        <v>49.971479999999964</v>
      </c>
      <c r="I18" s="214">
        <f>I15*Assumptions!F$15</f>
        <v>49.971479999999964</v>
      </c>
      <c r="J18" s="214">
        <f>J15*Assumptions!G$15</f>
        <v>49.971480000000021</v>
      </c>
      <c r="K18" s="214">
        <f>K15*Assumptions!H$15</f>
        <v>49.971479999999964</v>
      </c>
      <c r="L18" s="214">
        <f>L15*Assumptions!I$15</f>
        <v>49.971480000000021</v>
      </c>
      <c r="M18" s="214">
        <f>M15*Assumptions!J$15</f>
        <v>49.971480000000021</v>
      </c>
      <c r="N18" s="214">
        <f>N15*Assumptions!K$15</f>
        <v>49.971479999999936</v>
      </c>
      <c r="O18" s="214">
        <f>O15*Assumptions!L$15</f>
        <v>49.971479999999993</v>
      </c>
      <c r="P18" s="214">
        <f>P15*Assumptions!M$15</f>
        <v>49.971479999999993</v>
      </c>
      <c r="Q18" s="214">
        <f>Q15*Assumptions!N$15</f>
        <v>49.971479999999993</v>
      </c>
      <c r="R18" s="214">
        <f>R15*Assumptions!O$15</f>
        <v>49.971479999999993</v>
      </c>
      <c r="S18" s="214">
        <f>S15*Assumptions!P$15</f>
        <v>49.971479999999993</v>
      </c>
    </row>
    <row r="19" spans="2:19" ht="14.25" customHeight="1" x14ac:dyDescent="0.2">
      <c r="B19" s="216" t="s">
        <v>201</v>
      </c>
      <c r="C19" s="182" t="s">
        <v>456</v>
      </c>
      <c r="D19" s="215" t="str">
        <f>Input!$C$12</f>
        <v>LNG Diesel slow speed - Midpoint</v>
      </c>
      <c r="E19" s="184" t="s">
        <v>427</v>
      </c>
      <c r="F19" s="217"/>
      <c r="G19" s="186" t="s">
        <v>170</v>
      </c>
      <c r="H19" s="214">
        <f>INDEX(Assumptions!$B$3:$L$6,MATCH(Assumptions!$B$5,Assumptions!$B$3:$B$6,0),MATCH($D19,Assumptions!$B$3:$L$3,0))</f>
        <v>83.89</v>
      </c>
      <c r="I19" s="214">
        <f>INDEX(Assumptions!$B$3:$L$6,MATCH(Assumptions!$B$5,Assumptions!$B$3:$B$6,0),MATCH($D19,Assumptions!$B$3:$L$3,0))</f>
        <v>83.89</v>
      </c>
      <c r="J19" s="214">
        <f>INDEX(Assumptions!$B$3:$L$6,MATCH(Assumptions!$B$5,Assumptions!$B$3:$B$6,0),MATCH($D19,Assumptions!$B$3:$L$3,0))</f>
        <v>83.89</v>
      </c>
      <c r="K19" s="214">
        <f>INDEX(Assumptions!$B$3:$L$6,MATCH(Assumptions!$B$5,Assumptions!$B$3:$B$6,0),MATCH($D19,Assumptions!$B$3:$L$3,0))</f>
        <v>83.89</v>
      </c>
      <c r="L19" s="214">
        <f>INDEX(Assumptions!$B$3:$L$6,MATCH(Assumptions!$B$5,Assumptions!$B$3:$B$6,0),MATCH($D19,Assumptions!$B$3:$L$3,0))</f>
        <v>83.89</v>
      </c>
      <c r="M19" s="214">
        <f>INDEX(Assumptions!$B$3:$L$6,MATCH(Assumptions!$B$5,Assumptions!$B$3:$B$6,0),MATCH($D19,Assumptions!$B$3:$L$3,0))</f>
        <v>83.89</v>
      </c>
      <c r="N19" s="214">
        <f>INDEX(Assumptions!$B$3:$L$6,MATCH(Assumptions!$B$5,Assumptions!$B$3:$B$6,0),MATCH($D19,Assumptions!$B$3:$L$3,0))</f>
        <v>83.89</v>
      </c>
      <c r="O19" s="214">
        <f>INDEX(Assumptions!$B$3:$L$6,MATCH(Assumptions!$B$5,Assumptions!$B$3:$B$6,0),MATCH($D19,Assumptions!$B$3:$L$3,0))</f>
        <v>83.89</v>
      </c>
      <c r="P19" s="214">
        <f>INDEX(Assumptions!$B$3:$L$6,MATCH(Assumptions!$B$5,Assumptions!$B$3:$B$6,0),MATCH($D19,Assumptions!$B$3:$L$3,0))</f>
        <v>83.89</v>
      </c>
      <c r="Q19" s="214">
        <f>INDEX(Assumptions!$B$3:$L$6,MATCH(Assumptions!$B$5,Assumptions!$B$3:$B$6,0),MATCH($D19,Assumptions!$B$3:$L$3,0))</f>
        <v>83.89</v>
      </c>
      <c r="R19" s="214">
        <f>INDEX(Assumptions!$B$3:$L$6,MATCH(Assumptions!$B$5,Assumptions!$B$3:$B$6,0),MATCH($D19,Assumptions!$B$3:$L$3,0))</f>
        <v>83.89</v>
      </c>
      <c r="S19" s="214">
        <f>INDEX(Assumptions!$B$3:$L$6,MATCH(Assumptions!$B$5,Assumptions!$B$3:$B$6,0),MATCH($D19,Assumptions!$B$3:$L$3,0))</f>
        <v>83.89</v>
      </c>
    </row>
    <row r="20" spans="2:19" ht="14.25" customHeight="1" x14ac:dyDescent="0.2">
      <c r="B20" s="212"/>
      <c r="C20" s="182" t="s">
        <v>457</v>
      </c>
      <c r="D20" s="213"/>
      <c r="E20" s="184" t="s">
        <v>440</v>
      </c>
      <c r="F20" s="186" t="s">
        <v>441</v>
      </c>
      <c r="G20" s="186" t="s">
        <v>442</v>
      </c>
      <c r="H20" s="214">
        <f t="shared" ref="H20:S20" si="2">H19/1000</f>
        <v>8.3890000000000006E-2</v>
      </c>
      <c r="I20" s="214">
        <f t="shared" si="2"/>
        <v>8.3890000000000006E-2</v>
      </c>
      <c r="J20" s="214">
        <f t="shared" si="2"/>
        <v>8.3890000000000006E-2</v>
      </c>
      <c r="K20" s="214">
        <f t="shared" si="2"/>
        <v>8.3890000000000006E-2</v>
      </c>
      <c r="L20" s="214">
        <f t="shared" si="2"/>
        <v>8.3890000000000006E-2</v>
      </c>
      <c r="M20" s="214">
        <f t="shared" si="2"/>
        <v>8.3890000000000006E-2</v>
      </c>
      <c r="N20" s="214">
        <f t="shared" si="2"/>
        <v>8.3890000000000006E-2</v>
      </c>
      <c r="O20" s="214">
        <f t="shared" si="2"/>
        <v>8.3890000000000006E-2</v>
      </c>
      <c r="P20" s="214">
        <f t="shared" si="2"/>
        <v>8.3890000000000006E-2</v>
      </c>
      <c r="Q20" s="214">
        <f t="shared" si="2"/>
        <v>8.3890000000000006E-2</v>
      </c>
      <c r="R20" s="214">
        <f t="shared" si="2"/>
        <v>8.3890000000000006E-2</v>
      </c>
      <c r="S20" s="214">
        <f t="shared" si="2"/>
        <v>8.3890000000000006E-2</v>
      </c>
    </row>
    <row r="21" spans="2:19" ht="14.25" customHeight="1" x14ac:dyDescent="0.2">
      <c r="B21" s="212"/>
      <c r="C21" s="182" t="s">
        <v>458</v>
      </c>
      <c r="D21" s="213"/>
      <c r="E21" s="184" t="s">
        <v>444</v>
      </c>
      <c r="F21" s="186" t="s">
        <v>459</v>
      </c>
      <c r="G21" s="186" t="s">
        <v>460</v>
      </c>
      <c r="H21" s="214">
        <f>MAX((H19-H$4),0)*Assumptions!$E$6</f>
        <v>0</v>
      </c>
      <c r="I21" s="214">
        <f>MAX((I19-I$4),0)*Assumptions!$E$6</f>
        <v>0</v>
      </c>
      <c r="J21" s="214">
        <f>MAX((J19-J$4),0)*Assumptions!$E$6</f>
        <v>8.8959039999999934E-2</v>
      </c>
      <c r="K21" s="214">
        <f>MAX((K19-K$4),0)*Assumptions!$E$6</f>
        <v>0.25809328000000037</v>
      </c>
      <c r="L21" s="214">
        <f>MAX((L19-L$4),0)*Assumptions!$E$6</f>
        <v>0.42722752000000025</v>
      </c>
      <c r="M21" s="214">
        <f>MAX((M19-M$4),0)*Assumptions!$E$6</f>
        <v>0.59636176000000007</v>
      </c>
      <c r="N21" s="214">
        <f>MAX((N19-N$4),0)*Assumptions!$E$6</f>
        <v>0.76549600000000051</v>
      </c>
      <c r="O21" s="214">
        <f>MAX((O19-O$4),0)*Assumptions!$E$6</f>
        <v>1.0345732000000001</v>
      </c>
      <c r="P21" s="214">
        <f>MAX((P19-P$4),0)*Assumptions!$E$6</f>
        <v>1.3036503999999998</v>
      </c>
      <c r="Q21" s="214">
        <f>MAX((Q19-Q$4),0)*Assumptions!$E$6</f>
        <v>1.5727276000000001</v>
      </c>
      <c r="R21" s="214">
        <f>MAX((R19-R$4),0)*Assumptions!$E$6</f>
        <v>1.8418048</v>
      </c>
      <c r="S21" s="214">
        <f>MAX((S19-S$4),0)*Assumptions!$E$6</f>
        <v>2.1108820000000001</v>
      </c>
    </row>
    <row r="22" spans="2:19" ht="14.25" customHeight="1" x14ac:dyDescent="0.2">
      <c r="B22" s="212"/>
      <c r="C22" s="182" t="s">
        <v>461</v>
      </c>
      <c r="D22" s="183"/>
      <c r="E22" s="184" t="s">
        <v>448</v>
      </c>
      <c r="F22" s="186" t="s">
        <v>462</v>
      </c>
      <c r="G22" s="186" t="s">
        <v>460</v>
      </c>
      <c r="H22" s="214">
        <f>MIN(MAX(0,(H$19-H$5)),(H$4-H$5))*Assumptions!$E$6</f>
        <v>0.3426603999999997</v>
      </c>
      <c r="I22" s="214">
        <f>MIN(MAX(0,(I$19-I$5)),(I$4-I$5))*Assumptions!$E$6</f>
        <v>0.41953959999999968</v>
      </c>
      <c r="J22" s="214">
        <f>MIN(MAX(0,(J$19-J$5)),(J$4-J$5))*Assumptions!$E$6</f>
        <v>0.49971480000000018</v>
      </c>
      <c r="K22" s="214">
        <f>MIN(MAX(0,(K$19-K$5)),(K$4-K$5))*Assumptions!$E$6</f>
        <v>0.49971479999999963</v>
      </c>
      <c r="L22" s="214">
        <f>MIN(MAX(0,(L$19-L$5)),(L$4-L$5))*Assumptions!$E$6</f>
        <v>0.49971480000000018</v>
      </c>
      <c r="M22" s="214">
        <f>MIN(MAX(0,(M$19-M$5)),(M$4-M$5))*Assumptions!$E$6</f>
        <v>0.49971480000000018</v>
      </c>
      <c r="N22" s="214">
        <f>MIN(MAX(0,(N$19-N$5)),(N$4-N$5))*Assumptions!$E$6</f>
        <v>0.49971479999999935</v>
      </c>
      <c r="O22" s="214">
        <f>MIN(MAX(0,(O$19-O$5)),(O$4-O$5))*Assumptions!$E$6</f>
        <v>0.4997147999999999</v>
      </c>
      <c r="P22" s="214">
        <f>MIN(MAX(0,(P$19-P$5)),(P$4-P$5))*Assumptions!$E$6</f>
        <v>0.4997147999999999</v>
      </c>
      <c r="Q22" s="214">
        <f>MIN(MAX(0,(Q$19-Q$5)),(Q$4-Q$5))*Assumptions!$E$6</f>
        <v>0.4997147999999999</v>
      </c>
      <c r="R22" s="214">
        <f>MIN(MAX(0,(R$19-R$5)),(R$4-R$5))*Assumptions!$E$6</f>
        <v>0.4997147999999999</v>
      </c>
      <c r="S22" s="214">
        <f>MIN(MAX(0,(S$19-S$5)),(S$4-S$5))*Assumptions!$E$6</f>
        <v>0.4997147999999999</v>
      </c>
    </row>
    <row r="23" spans="2:19" ht="14.25" customHeight="1" x14ac:dyDescent="0.2">
      <c r="B23" s="212"/>
      <c r="C23" s="182" t="s">
        <v>463</v>
      </c>
      <c r="D23" s="213"/>
      <c r="E23" s="184" t="s">
        <v>464</v>
      </c>
      <c r="F23" s="186" t="s">
        <v>459</v>
      </c>
      <c r="G23" s="186" t="s">
        <v>465</v>
      </c>
      <c r="H23" s="214">
        <f>MIN((H19-H$5),0)*Assumptions!$E$6</f>
        <v>0</v>
      </c>
      <c r="I23" s="214">
        <f>MIN((I19-I$5),0)*Assumptions!$E$6</f>
        <v>0</v>
      </c>
      <c r="J23" s="214">
        <f>MIN((J19-J$5),0)*Assumptions!$E$6</f>
        <v>0</v>
      </c>
      <c r="K23" s="214">
        <f>MIN((K19-K$5),0)*Assumptions!$E$6</f>
        <v>0</v>
      </c>
      <c r="L23" s="214">
        <f>MIN((L19-L$5),0)*Assumptions!$E$6</f>
        <v>0</v>
      </c>
      <c r="M23" s="214">
        <f>MIN((M19-M$5),0)*Assumptions!$E$6</f>
        <v>0</v>
      </c>
      <c r="N23" s="214">
        <f>MIN((N19-N$5),0)*Assumptions!$E$6</f>
        <v>0</v>
      </c>
      <c r="O23" s="214">
        <f>MIN((O19-O$5),0)*Assumptions!$E$6</f>
        <v>0</v>
      </c>
      <c r="P23" s="214">
        <f>MIN((P19-P$5),0)*Assumptions!$E$6</f>
        <v>0</v>
      </c>
      <c r="Q23" s="214">
        <f>MIN((Q19-Q$5),0)*Assumptions!$E$6</f>
        <v>0</v>
      </c>
      <c r="R23" s="214">
        <f>MIN((R19-R$5),0)*Assumptions!$E$6</f>
        <v>0</v>
      </c>
      <c r="S23" s="214">
        <f>MIN((S19-S$5),0)*Assumptions!$E$6</f>
        <v>0</v>
      </c>
    </row>
    <row r="24" spans="2:19" ht="14.25" customHeight="1" x14ac:dyDescent="0.2">
      <c r="B24" s="212"/>
      <c r="C24" s="182" t="s">
        <v>466</v>
      </c>
      <c r="D24" s="215" t="str">
        <f>Input!$C$13</f>
        <v>Use CIA Assumption</v>
      </c>
      <c r="E24" s="184" t="s">
        <v>427</v>
      </c>
      <c r="F24" s="186"/>
      <c r="G24" s="186" t="s">
        <v>200</v>
      </c>
      <c r="H24" s="214">
        <f>IF($D$24="Enter fixed price",Input!$C$14/(Assumptions!$E$6*1000),INDEX(Assumptions!$B$20:$Z$27,3,MATCH(H$3,Assumptions!$B$20:$Z$20,0)))</f>
        <v>11.100000000000001</v>
      </c>
      <c r="I24" s="214">
        <f>IF($D$24="Enter fixed price",Input!$C$14/(Assumptions!$E$6*1000),INDEX(Assumptions!$B$20:$Z$27,3,MATCH(I$3,Assumptions!$B$20:$Z$20,0)))</f>
        <v>10.3</v>
      </c>
      <c r="J24" s="214">
        <f>IF($D$24="Enter fixed price",Input!$C$14/(Assumptions!$E$6*1000),INDEX(Assumptions!$B$20:$Z$27,3,MATCH(J$3,Assumptions!$B$20:$Z$20,0)))</f>
        <v>10.290000000000001</v>
      </c>
      <c r="K24" s="214">
        <f>IF($D$24="Enter fixed price",Input!$C$14/(Assumptions!$E$6*1000),INDEX(Assumptions!$B$20:$Z$27,3,MATCH(K$3,Assumptions!$B$20:$Z$20,0)))</f>
        <v>10.280000000000001</v>
      </c>
      <c r="L24" s="214">
        <f>IF($D$24="Enter fixed price",Input!$C$14/(Assumptions!$E$6*1000),INDEX(Assumptions!$B$20:$Z$27,3,MATCH(L$3,Assumptions!$B$20:$Z$20,0)))</f>
        <v>10.27</v>
      </c>
      <c r="M24" s="214">
        <f>IF($D$24="Enter fixed price",Input!$C$14/(Assumptions!$E$6*1000),INDEX(Assumptions!$B$20:$Z$27,3,MATCH(M$3,Assumptions!$B$20:$Z$20,0)))</f>
        <v>10.26</v>
      </c>
      <c r="N24" s="214">
        <f>IF($D$24="Enter fixed price",Input!$C$14/(Assumptions!$E$6*1000),INDEX(Assumptions!$B$20:$Z$27,3,MATCH(N$3,Assumptions!$B$20:$Z$20,0)))</f>
        <v>10.25</v>
      </c>
      <c r="O24" s="214">
        <f>IF($D$24="Enter fixed price",Input!$C$14/(Assumptions!$E$6*1000),INDEX(Assumptions!$B$20:$Z$27,3,MATCH(O$3,Assumptions!$B$20:$Z$20,0)))</f>
        <v>10.24</v>
      </c>
      <c r="P24" s="214">
        <f>IF($D$24="Enter fixed price",Input!$C$14/(Assumptions!$E$6*1000),INDEX(Assumptions!$B$20:$Z$27,3,MATCH(P$3,Assumptions!$B$20:$Z$20,0)))</f>
        <v>10.23</v>
      </c>
      <c r="Q24" s="214">
        <f>IF($D$24="Enter fixed price",Input!$C$14/(Assumptions!$E$6*1000),INDEX(Assumptions!$B$20:$Z$27,3,MATCH(Q$3,Assumptions!$B$20:$Z$20,0)))</f>
        <v>10.219999999999999</v>
      </c>
      <c r="R24" s="214">
        <f>IF($D$24="Enter fixed price",Input!$C$14/(Assumptions!$E$6*1000),INDEX(Assumptions!$B$20:$Z$27,3,MATCH(R$3,Assumptions!$B$20:$Z$20,0)))</f>
        <v>10.209999999999999</v>
      </c>
      <c r="S24" s="214">
        <f>IF($D$24="Enter fixed price",Input!$C$14/(Assumptions!$E$6*1000),INDEX(Assumptions!$B$20:$Z$27,3,MATCH(S$3,Assumptions!$B$20:$Z$20,0)))</f>
        <v>10.199999999999999</v>
      </c>
    </row>
    <row r="25" spans="2:19" ht="14.25" customHeight="1" x14ac:dyDescent="0.2">
      <c r="B25" s="212"/>
      <c r="C25" s="182" t="s">
        <v>467</v>
      </c>
      <c r="D25" s="213"/>
      <c r="E25" s="184"/>
      <c r="F25" s="186"/>
      <c r="G25" s="186" t="s">
        <v>468</v>
      </c>
      <c r="H25" s="214">
        <f>MAX(H21*Assumptions!E14,0)</f>
        <v>0</v>
      </c>
      <c r="I25" s="214">
        <f>MAX(I21*Assumptions!F14,0)</f>
        <v>0</v>
      </c>
      <c r="J25" s="214">
        <f>MAX(J21*Assumptions!G14,0)</f>
        <v>33.804435199999972</v>
      </c>
      <c r="K25" s="214">
        <f>MAX(K21*Assumptions!H14,0)</f>
        <v>98.075446400000146</v>
      </c>
      <c r="L25" s="214">
        <f>MAX(L21*Assumptions!I14,0)</f>
        <v>162.34645760000009</v>
      </c>
      <c r="M25" s="214">
        <f>MAX(M21*Assumptions!J14,0)</f>
        <v>226.61746880000004</v>
      </c>
      <c r="N25" s="214">
        <f>MAX(N21*Assumptions!K14,0)</f>
        <v>290.88848000000019</v>
      </c>
      <c r="O25" s="214">
        <f>MAX(O21*Assumptions!L14,0)</f>
        <v>393.13781600000004</v>
      </c>
      <c r="P25" s="214">
        <f>MAX(P21*Assumptions!M14,0)</f>
        <v>495.3871519999999</v>
      </c>
      <c r="Q25" s="214">
        <f>MAX(Q21*Assumptions!N14,0)</f>
        <v>597.6364880000001</v>
      </c>
      <c r="R25" s="214">
        <f>MAX(R21*Assumptions!O14,0)</f>
        <v>699.88582399999996</v>
      </c>
      <c r="S25" s="214">
        <f>MAX(S21*Assumptions!P14,0)</f>
        <v>802.13516000000004</v>
      </c>
    </row>
    <row r="26" spans="2:19" ht="14.25" customHeight="1" x14ac:dyDescent="0.2">
      <c r="B26" s="212"/>
      <c r="C26" s="182" t="s">
        <v>469</v>
      </c>
      <c r="D26" s="213"/>
      <c r="E26" s="184" t="s">
        <v>452</v>
      </c>
      <c r="F26" s="186" t="s">
        <v>453</v>
      </c>
      <c r="G26" s="186" t="s">
        <v>468</v>
      </c>
      <c r="H26" s="214">
        <f>H22*Assumptions!E15</f>
        <v>34.266039999999968</v>
      </c>
      <c r="I26" s="214">
        <f>I22*Assumptions!F15</f>
        <v>41.953959999999967</v>
      </c>
      <c r="J26" s="214">
        <f>J22*Assumptions!G15</f>
        <v>49.971480000000021</v>
      </c>
      <c r="K26" s="214">
        <f>K22*Assumptions!H15</f>
        <v>49.971479999999964</v>
      </c>
      <c r="L26" s="214">
        <f>L22*Assumptions!I15</f>
        <v>49.971480000000021</v>
      </c>
      <c r="M26" s="214">
        <f>M22*Assumptions!J15</f>
        <v>49.971480000000021</v>
      </c>
      <c r="N26" s="214">
        <f>N22*Assumptions!K15</f>
        <v>49.971479999999936</v>
      </c>
      <c r="O26" s="214">
        <f>O22*Assumptions!L15</f>
        <v>49.971479999999993</v>
      </c>
      <c r="P26" s="214">
        <f>P22*Assumptions!M15</f>
        <v>49.971479999999993</v>
      </c>
      <c r="Q26" s="214">
        <f>Q22*Assumptions!N15</f>
        <v>49.971479999999993</v>
      </c>
      <c r="R26" s="214">
        <f>R22*Assumptions!O15</f>
        <v>49.971479999999993</v>
      </c>
      <c r="S26" s="214">
        <f>S22*Assumptions!P15</f>
        <v>49.971479999999993</v>
      </c>
    </row>
    <row r="27" spans="2:19" ht="14.25" customHeight="1" x14ac:dyDescent="0.2">
      <c r="B27" s="216" t="s">
        <v>162</v>
      </c>
      <c r="C27" s="182" t="s">
        <v>470</v>
      </c>
      <c r="D27" s="215" t="s">
        <v>162</v>
      </c>
      <c r="E27" s="184" t="s">
        <v>427</v>
      </c>
      <c r="F27" s="217"/>
      <c r="G27" s="186" t="s">
        <v>170</v>
      </c>
      <c r="H27" s="214">
        <f>INDEX(Assumptions!$B$3:$L$6,MATCH(Assumptions!$B$5,Assumptions!$B$3:$B$6,0),MATCH($D27,Assumptions!$B$3:$L$3,0))</f>
        <v>22.12</v>
      </c>
      <c r="I27" s="214">
        <f>INDEX(Assumptions!$B$3:$L$6,MATCH(Assumptions!$B$5,Assumptions!$B$3:$B$6,0),MATCH($D27,Assumptions!$B$3:$L$3,0))</f>
        <v>22.12</v>
      </c>
      <c r="J27" s="214">
        <f>INDEX(Assumptions!$B$3:$L$6,MATCH(Assumptions!$B$5,Assumptions!$B$3:$B$6,0),MATCH($D27,Assumptions!$B$3:$L$3,0))</f>
        <v>22.12</v>
      </c>
      <c r="K27" s="214">
        <f>INDEX(Assumptions!$B$3:$L$6,MATCH(Assumptions!$B$5,Assumptions!$B$3:$B$6,0),MATCH($D27,Assumptions!$B$3:$L$3,0))</f>
        <v>22.12</v>
      </c>
      <c r="L27" s="214">
        <f>INDEX(Assumptions!$B$3:$L$6,MATCH(Assumptions!$B$5,Assumptions!$B$3:$B$6,0),MATCH($D27,Assumptions!$B$3:$L$3,0))</f>
        <v>22.12</v>
      </c>
      <c r="M27" s="214">
        <f>INDEX(Assumptions!$B$3:$L$6,MATCH(Assumptions!$B$5,Assumptions!$B$3:$B$6,0),MATCH($D27,Assumptions!$B$3:$L$3,0))</f>
        <v>22.12</v>
      </c>
      <c r="N27" s="214">
        <f>INDEX(Assumptions!$B$3:$L$6,MATCH(Assumptions!$B$5,Assumptions!$B$3:$B$6,0),MATCH($D27,Assumptions!$B$3:$L$3,0))</f>
        <v>22.12</v>
      </c>
      <c r="O27" s="214">
        <f>INDEX(Assumptions!$B$3:$L$6,MATCH(Assumptions!$B$5,Assumptions!$B$3:$B$6,0),MATCH($D27,Assumptions!$B$3:$L$3,0))</f>
        <v>22.12</v>
      </c>
      <c r="P27" s="214">
        <f>INDEX(Assumptions!$B$3:$L$6,MATCH(Assumptions!$B$5,Assumptions!$B$3:$B$6,0),MATCH($D27,Assumptions!$B$3:$L$3,0))</f>
        <v>22.12</v>
      </c>
      <c r="Q27" s="214">
        <f>INDEX(Assumptions!$B$3:$L$6,MATCH(Assumptions!$B$5,Assumptions!$B$3:$B$6,0),MATCH($D27,Assumptions!$B$3:$L$3,0))</f>
        <v>22.12</v>
      </c>
      <c r="R27" s="214">
        <f>INDEX(Assumptions!$B$3:$L$6,MATCH(Assumptions!$B$5,Assumptions!$B$3:$B$6,0),MATCH($D27,Assumptions!$B$3:$L$3,0))</f>
        <v>22.12</v>
      </c>
      <c r="S27" s="214">
        <f>INDEX(Assumptions!$B$3:$L$6,MATCH(Assumptions!$B$5,Assumptions!$B$3:$B$6,0),MATCH($D27,Assumptions!$B$3:$L$3,0))</f>
        <v>22.12</v>
      </c>
    </row>
    <row r="28" spans="2:19" ht="14.25" customHeight="1" x14ac:dyDescent="0.2">
      <c r="B28" s="212"/>
      <c r="C28" s="182" t="s">
        <v>471</v>
      </c>
      <c r="D28" s="213"/>
      <c r="E28" s="184" t="s">
        <v>440</v>
      </c>
      <c r="F28" s="186" t="s">
        <v>441</v>
      </c>
      <c r="G28" s="186" t="s">
        <v>442</v>
      </c>
      <c r="H28" s="214">
        <f t="shared" ref="H28:S28" si="3">H27/1000</f>
        <v>2.2120000000000001E-2</v>
      </c>
      <c r="I28" s="214">
        <f t="shared" si="3"/>
        <v>2.2120000000000001E-2</v>
      </c>
      <c r="J28" s="214">
        <f t="shared" si="3"/>
        <v>2.2120000000000001E-2</v>
      </c>
      <c r="K28" s="214">
        <f t="shared" si="3"/>
        <v>2.2120000000000001E-2</v>
      </c>
      <c r="L28" s="214">
        <f t="shared" si="3"/>
        <v>2.2120000000000001E-2</v>
      </c>
      <c r="M28" s="214">
        <f t="shared" si="3"/>
        <v>2.2120000000000001E-2</v>
      </c>
      <c r="N28" s="214">
        <f t="shared" si="3"/>
        <v>2.2120000000000001E-2</v>
      </c>
      <c r="O28" s="214">
        <f t="shared" si="3"/>
        <v>2.2120000000000001E-2</v>
      </c>
      <c r="P28" s="214">
        <f t="shared" si="3"/>
        <v>2.2120000000000001E-2</v>
      </c>
      <c r="Q28" s="214">
        <f t="shared" si="3"/>
        <v>2.2120000000000001E-2</v>
      </c>
      <c r="R28" s="214">
        <f t="shared" si="3"/>
        <v>2.2120000000000001E-2</v>
      </c>
      <c r="S28" s="214">
        <f t="shared" si="3"/>
        <v>2.2120000000000001E-2</v>
      </c>
    </row>
    <row r="29" spans="2:19" ht="14.25" customHeight="1" x14ac:dyDescent="0.2">
      <c r="B29" s="212"/>
      <c r="C29" s="182" t="s">
        <v>472</v>
      </c>
      <c r="D29" s="213"/>
      <c r="E29" s="184"/>
      <c r="F29" s="186" t="s">
        <v>473</v>
      </c>
      <c r="G29" s="186" t="s">
        <v>460</v>
      </c>
      <c r="H29" s="214">
        <f>MAX((H27-H$4),0)*Assumptions!$E$6</f>
        <v>0</v>
      </c>
      <c r="I29" s="214">
        <f>MAX((I27-I$4),0)*Assumptions!$E$6</f>
        <v>0</v>
      </c>
      <c r="J29" s="214">
        <f>MAX((J27-J$4),0)*Assumptions!$E$6</f>
        <v>0</v>
      </c>
      <c r="K29" s="214">
        <f>MAX((K27-K$4),0)*Assumptions!$E$6</f>
        <v>0</v>
      </c>
      <c r="L29" s="214">
        <f>MAX((L27-L$4),0)*Assumptions!$E$6</f>
        <v>0</v>
      </c>
      <c r="M29" s="214">
        <f>MAX((M27-M$4),0)*Assumptions!$E$6</f>
        <v>0</v>
      </c>
      <c r="N29" s="214">
        <f>MAX((N27-N$4),0)*Assumptions!$E$6</f>
        <v>0</v>
      </c>
      <c r="O29" s="214">
        <f>MAX((O27-O$4),0)*Assumptions!$E$6</f>
        <v>0</v>
      </c>
      <c r="P29" s="214">
        <f>MAX((P27-P$4),0)*Assumptions!$E$6</f>
        <v>0</v>
      </c>
      <c r="Q29" s="214">
        <f>MAX((Q27-Q$4),0)*Assumptions!$E$6</f>
        <v>0</v>
      </c>
      <c r="R29" s="214">
        <f>MAX((R27-R$4),0)*Assumptions!$E$6</f>
        <v>0</v>
      </c>
      <c r="S29" s="214">
        <f>MAX((S27-S$4),0)*Assumptions!$E$6</f>
        <v>0</v>
      </c>
    </row>
    <row r="30" spans="2:19" ht="14.25" customHeight="1" x14ac:dyDescent="0.2">
      <c r="B30" s="212"/>
      <c r="C30" s="182" t="s">
        <v>474</v>
      </c>
      <c r="D30" s="215" t="str">
        <f>Input!$C$15</f>
        <v>Use CIA Assumption</v>
      </c>
      <c r="E30" s="184" t="s">
        <v>427</v>
      </c>
      <c r="F30" s="186"/>
      <c r="G30" s="186" t="s">
        <v>200</v>
      </c>
      <c r="H30" s="214">
        <f>IF($D$30="Enter fixed price",Input!$C$16/(Assumptions!$E$6*1000),INDEX(Assumptions!$B$20:$Z$27,4,MATCH(H$3,Assumptions!$B$20:$Z$20,0)))</f>
        <v>30.5</v>
      </c>
      <c r="I30" s="214">
        <f>IF($D$30="Enter fixed price",Input!$C$16/(Assumptions!$E$6*1000),INDEX(Assumptions!$B$20:$Z$27,4,MATCH(I$3,Assumptions!$B$20:$Z$20,0)))</f>
        <v>30.9</v>
      </c>
      <c r="J30" s="214">
        <f>IF($D$30="Enter fixed price",Input!$C$16/(Assumptions!$E$6*1000),INDEX(Assumptions!$B$20:$Z$27,4,MATCH(J$3,Assumptions!$B$20:$Z$20,0)))</f>
        <v>31.3</v>
      </c>
      <c r="K30" s="214">
        <f>IF($D$30="Enter fixed price",Input!$C$16/(Assumptions!$E$6*1000),INDEX(Assumptions!$B$20:$Z$27,4,MATCH(K$3,Assumptions!$B$20:$Z$20,0)))</f>
        <v>31.7</v>
      </c>
      <c r="L30" s="214">
        <f>IF($D$30="Enter fixed price",Input!$C$16/(Assumptions!$E$6*1000),INDEX(Assumptions!$B$20:$Z$27,4,MATCH(L$3,Assumptions!$B$20:$Z$20,0)))</f>
        <v>32.200000000000003</v>
      </c>
      <c r="M30" s="214">
        <f>IF($D$30="Enter fixed price",Input!$C$16/(Assumptions!$E$6*1000),INDEX(Assumptions!$B$20:$Z$27,4,MATCH(M$3,Assumptions!$B$20:$Z$20,0)))</f>
        <v>32.6</v>
      </c>
      <c r="N30" s="214">
        <f>IF($D$30="Enter fixed price",Input!$C$16/(Assumptions!$E$6*1000),INDEX(Assumptions!$B$20:$Z$27,4,MATCH(N$3,Assumptions!$B$20:$Z$20,0)))</f>
        <v>33</v>
      </c>
      <c r="O30" s="214">
        <f>IF($D$30="Enter fixed price",Input!$C$16/(Assumptions!$E$6*1000),INDEX(Assumptions!$B$20:$Z$27,4,MATCH(O$3,Assumptions!$B$20:$Z$20,0)))</f>
        <v>33.4</v>
      </c>
      <c r="P30" s="214">
        <f>IF($D$30="Enter fixed price",Input!$C$16/(Assumptions!$E$6*1000),INDEX(Assumptions!$B$20:$Z$27,4,MATCH(P$3,Assumptions!$B$20:$Z$20,0)))</f>
        <v>33.799999999999997</v>
      </c>
      <c r="Q30" s="214">
        <f>IF($D$30="Enter fixed price",Input!$C$16/(Assumptions!$E$6*1000),INDEX(Assumptions!$B$20:$Z$27,4,MATCH(Q$3,Assumptions!$B$20:$Z$20,0)))</f>
        <v>34.299999999999997</v>
      </c>
      <c r="R30" s="214">
        <f>IF($D$30="Enter fixed price",Input!$C$16/(Assumptions!$E$6*1000),INDEX(Assumptions!$B$20:$Z$27,4,MATCH(R$3,Assumptions!$B$20:$Z$20,0)))</f>
        <v>34.700000000000003</v>
      </c>
      <c r="S30" s="214">
        <f>IF($D$30="Enter fixed price",Input!$C$16/(Assumptions!$E$6*1000),INDEX(Assumptions!$B$20:$Z$27,4,MATCH(S$3,Assumptions!$B$20:$Z$20,0)))</f>
        <v>35.1</v>
      </c>
    </row>
    <row r="31" spans="2:19" ht="14.25" customHeight="1" x14ac:dyDescent="0.2">
      <c r="B31" s="216" t="s">
        <v>256</v>
      </c>
      <c r="C31" s="182" t="s">
        <v>475</v>
      </c>
      <c r="D31" s="215" t="s">
        <v>163</v>
      </c>
      <c r="E31" s="184" t="s">
        <v>427</v>
      </c>
      <c r="F31" s="217"/>
      <c r="G31" s="186" t="s">
        <v>170</v>
      </c>
      <c r="H31" s="214">
        <f>INDEX(Assumptions!$B$3:$L$6,MATCH(Assumptions!$B$5,Assumptions!$B$3:$B$6,0),MATCH($D31,Assumptions!$B$3:$L$3,0))</f>
        <v>20.619759999999999</v>
      </c>
      <c r="I31" s="214">
        <f>INDEX(Assumptions!$B$3:$L$6,MATCH(Assumptions!$B$5,Assumptions!$B$3:$B$6,0),MATCH($D31,Assumptions!$B$3:$L$3,0))</f>
        <v>20.619759999999999</v>
      </c>
      <c r="J31" s="214">
        <f>INDEX(Assumptions!$B$3:$L$6,MATCH(Assumptions!$B$5,Assumptions!$B$3:$B$6,0),MATCH($D31,Assumptions!$B$3:$L$3,0))</f>
        <v>20.619759999999999</v>
      </c>
      <c r="K31" s="214">
        <f>INDEX(Assumptions!$B$3:$L$6,MATCH(Assumptions!$B$5,Assumptions!$B$3:$B$6,0),MATCH($D31,Assumptions!$B$3:$L$3,0))</f>
        <v>20.619759999999999</v>
      </c>
      <c r="L31" s="214">
        <f>INDEX(Assumptions!$B$3:$L$6,MATCH(Assumptions!$B$5,Assumptions!$B$3:$B$6,0),MATCH($D31,Assumptions!$B$3:$L$3,0))</f>
        <v>20.619759999999999</v>
      </c>
      <c r="M31" s="214">
        <f>INDEX(Assumptions!$B$3:$L$6,MATCH(Assumptions!$B$5,Assumptions!$B$3:$B$6,0),MATCH($D31,Assumptions!$B$3:$L$3,0))</f>
        <v>20.619759999999999</v>
      </c>
      <c r="N31" s="214">
        <f>INDEX(Assumptions!$B$3:$L$6,MATCH(Assumptions!$B$5,Assumptions!$B$3:$B$6,0),MATCH($D31,Assumptions!$B$3:$L$3,0))</f>
        <v>20.619759999999999</v>
      </c>
      <c r="O31" s="214">
        <f>INDEX(Assumptions!$B$3:$L$6,MATCH(Assumptions!$B$5,Assumptions!$B$3:$B$6,0),MATCH($D31,Assumptions!$B$3:$L$3,0))</f>
        <v>20.619759999999999</v>
      </c>
      <c r="P31" s="214">
        <f>INDEX(Assumptions!$B$3:$L$6,MATCH(Assumptions!$B$5,Assumptions!$B$3:$B$6,0),MATCH($D31,Assumptions!$B$3:$L$3,0))</f>
        <v>20.619759999999999</v>
      </c>
      <c r="Q31" s="214">
        <f>INDEX(Assumptions!$B$3:$L$6,MATCH(Assumptions!$B$5,Assumptions!$B$3:$B$6,0),MATCH($D31,Assumptions!$B$3:$L$3,0))</f>
        <v>20.619759999999999</v>
      </c>
      <c r="R31" s="214">
        <f>INDEX(Assumptions!$B$3:$L$6,MATCH(Assumptions!$B$5,Assumptions!$B$3:$B$6,0),MATCH($D31,Assumptions!$B$3:$L$3,0))</f>
        <v>20.619759999999999</v>
      </c>
      <c r="S31" s="214">
        <f>INDEX(Assumptions!$B$3:$L$6,MATCH(Assumptions!$B$5,Assumptions!$B$3:$B$6,0),MATCH($D31,Assumptions!$B$3:$L$3,0))</f>
        <v>20.619759999999999</v>
      </c>
    </row>
    <row r="32" spans="2:19" ht="14.25" customHeight="1" x14ac:dyDescent="0.2">
      <c r="B32" s="212"/>
      <c r="C32" s="182" t="s">
        <v>476</v>
      </c>
      <c r="D32" s="213"/>
      <c r="E32" s="184" t="s">
        <v>440</v>
      </c>
      <c r="F32" s="186" t="s">
        <v>441</v>
      </c>
      <c r="G32" s="186" t="s">
        <v>442</v>
      </c>
      <c r="H32" s="214">
        <f t="shared" ref="H32:S32" si="4">H31/1000</f>
        <v>2.0619760000000001E-2</v>
      </c>
      <c r="I32" s="214">
        <f t="shared" si="4"/>
        <v>2.0619760000000001E-2</v>
      </c>
      <c r="J32" s="214">
        <f t="shared" si="4"/>
        <v>2.0619760000000001E-2</v>
      </c>
      <c r="K32" s="214">
        <f t="shared" si="4"/>
        <v>2.0619760000000001E-2</v>
      </c>
      <c r="L32" s="214">
        <f t="shared" si="4"/>
        <v>2.0619760000000001E-2</v>
      </c>
      <c r="M32" s="214">
        <f t="shared" si="4"/>
        <v>2.0619760000000001E-2</v>
      </c>
      <c r="N32" s="214">
        <f t="shared" si="4"/>
        <v>2.0619760000000001E-2</v>
      </c>
      <c r="O32" s="214">
        <f t="shared" si="4"/>
        <v>2.0619760000000001E-2</v>
      </c>
      <c r="P32" s="214">
        <f t="shared" si="4"/>
        <v>2.0619760000000001E-2</v>
      </c>
      <c r="Q32" s="214">
        <f t="shared" si="4"/>
        <v>2.0619760000000001E-2</v>
      </c>
      <c r="R32" s="214">
        <f t="shared" si="4"/>
        <v>2.0619760000000001E-2</v>
      </c>
      <c r="S32" s="214">
        <f t="shared" si="4"/>
        <v>2.0619760000000001E-2</v>
      </c>
    </row>
    <row r="33" spans="2:19" ht="14.25" customHeight="1" x14ac:dyDescent="0.2">
      <c r="B33" s="212"/>
      <c r="C33" s="182" t="s">
        <v>477</v>
      </c>
      <c r="D33" s="213"/>
      <c r="E33" s="184"/>
      <c r="F33" s="186" t="s">
        <v>478</v>
      </c>
      <c r="G33" s="186" t="s">
        <v>460</v>
      </c>
      <c r="H33" s="214">
        <f>MAX((H31-H$4),0)*Assumptions!$E$6</f>
        <v>0</v>
      </c>
      <c r="I33" s="214">
        <f>MAX((I31-I$4),0)*Assumptions!$E$6</f>
        <v>0</v>
      </c>
      <c r="J33" s="214">
        <f>MAX((J31-J$4),0)*Assumptions!$E$6</f>
        <v>0</v>
      </c>
      <c r="K33" s="214">
        <f>MAX((K31-K$4),0)*Assumptions!$E$6</f>
        <v>0</v>
      </c>
      <c r="L33" s="214">
        <f>MAX((L31-L$4),0)*Assumptions!$E$6</f>
        <v>0</v>
      </c>
      <c r="M33" s="214">
        <f>MAX((M31-M$4),0)*Assumptions!$E$6</f>
        <v>0</v>
      </c>
      <c r="N33" s="214">
        <f>MAX((N31-N$4),0)*Assumptions!$E$6</f>
        <v>0</v>
      </c>
      <c r="O33" s="214">
        <f>MAX((O31-O$4),0)*Assumptions!$E$6</f>
        <v>0</v>
      </c>
      <c r="P33" s="214">
        <f>MAX((P31-P$4),0)*Assumptions!$E$6</f>
        <v>0</v>
      </c>
      <c r="Q33" s="214">
        <f>MAX((Q31-Q$4),0)*Assumptions!$E$6</f>
        <v>0</v>
      </c>
      <c r="R33" s="214">
        <f>MAX((R31-R$4),0)*Assumptions!$E$6</f>
        <v>0</v>
      </c>
      <c r="S33" s="214">
        <f>MAX((S31-S$4),0)*Assumptions!$E$6</f>
        <v>0</v>
      </c>
    </row>
    <row r="34" spans="2:19" ht="14.25" customHeight="1" x14ac:dyDescent="0.2">
      <c r="B34" s="212"/>
      <c r="C34" s="182" t="s">
        <v>479</v>
      </c>
      <c r="D34" s="215" t="str">
        <f>Input!$C$17</f>
        <v>Use CIA Assumption</v>
      </c>
      <c r="E34" s="184" t="s">
        <v>427</v>
      </c>
      <c r="F34" s="186"/>
      <c r="G34" s="186" t="s">
        <v>200</v>
      </c>
      <c r="H34" s="214">
        <f>IF($D$34="Enter fixed price",Input!$C$18/(Assumptions!$E$6*1000),INDEX(Assumptions!$B$20:$Z$27,5,MATCH(H$3,Assumptions!$B$20:$Z$20,0)))</f>
        <v>26.2</v>
      </c>
      <c r="I34" s="214">
        <f>IF($D$34="Enter fixed price",Input!$C$18/(Assumptions!$E$6*1000),INDEX(Assumptions!$B$20:$Z$27,5,MATCH(I$3,Assumptions!$B$20:$Z$20,0)))</f>
        <v>26.5</v>
      </c>
      <c r="J34" s="214">
        <f>IF($D$34="Enter fixed price",Input!$C$18/(Assumptions!$E$6*1000),INDEX(Assumptions!$B$20:$Z$27,5,MATCH(J$3,Assumptions!$B$20:$Z$20,0)))</f>
        <v>26.9</v>
      </c>
      <c r="K34" s="214">
        <f>IF($D$34="Enter fixed price",Input!$C$18/(Assumptions!$E$6*1000),INDEX(Assumptions!$B$20:$Z$27,5,MATCH(K$3,Assumptions!$B$20:$Z$20,0)))</f>
        <v>27.2</v>
      </c>
      <c r="L34" s="214">
        <f>IF($D$34="Enter fixed price",Input!$C$18/(Assumptions!$E$6*1000),INDEX(Assumptions!$B$20:$Z$27,5,MATCH(L$3,Assumptions!$B$20:$Z$20,0)))</f>
        <v>27.6</v>
      </c>
      <c r="M34" s="214">
        <f>IF($D$34="Enter fixed price",Input!$C$18/(Assumptions!$E$6*1000),INDEX(Assumptions!$B$20:$Z$27,5,MATCH(M$3,Assumptions!$B$20:$Z$20,0)))</f>
        <v>28</v>
      </c>
      <c r="N34" s="214">
        <f>IF($D$34="Enter fixed price",Input!$C$18/(Assumptions!$E$6*1000),INDEX(Assumptions!$B$20:$Z$27,5,MATCH(N$3,Assumptions!$B$20:$Z$20,0)))</f>
        <v>28.4</v>
      </c>
      <c r="O34" s="214">
        <f>IF($D$34="Enter fixed price",Input!$C$18/(Assumptions!$E$6*1000),INDEX(Assumptions!$B$20:$Z$27,5,MATCH(O$3,Assumptions!$B$20:$Z$20,0)))</f>
        <v>28.7</v>
      </c>
      <c r="P34" s="214">
        <f>IF($D$34="Enter fixed price",Input!$C$18/(Assumptions!$E$6*1000),INDEX(Assumptions!$B$20:$Z$27,5,MATCH(P$3,Assumptions!$B$20:$Z$20,0)))</f>
        <v>29.1</v>
      </c>
      <c r="Q34" s="214">
        <f>IF($D$34="Enter fixed price",Input!$C$18/(Assumptions!$E$6*1000),INDEX(Assumptions!$B$20:$Z$27,5,MATCH(Q$3,Assumptions!$B$20:$Z$20,0)))</f>
        <v>29.5</v>
      </c>
      <c r="R34" s="214">
        <f>IF($D$34="Enter fixed price",Input!$C$18/(Assumptions!$E$6*1000),INDEX(Assumptions!$B$20:$Z$27,5,MATCH(R$3,Assumptions!$B$20:$Z$20,0)))</f>
        <v>29.8</v>
      </c>
      <c r="S34" s="214">
        <f>IF($D$34="Enter fixed price",Input!$C$18/(Assumptions!$E$6*1000),INDEX(Assumptions!$B$20:$Z$27,5,MATCH(S$3,Assumptions!$B$20:$Z$20,0)))</f>
        <v>30.2</v>
      </c>
    </row>
    <row r="35" spans="2:19" ht="14.25" customHeight="1" x14ac:dyDescent="0.2">
      <c r="B35" s="216" t="s">
        <v>164</v>
      </c>
      <c r="C35" s="182" t="s">
        <v>480</v>
      </c>
      <c r="D35" s="215" t="str">
        <f>Input!$C$5</f>
        <v>Min ZNZ Threshold</v>
      </c>
      <c r="E35" s="184" t="s">
        <v>427</v>
      </c>
      <c r="F35" s="217"/>
      <c r="G35" s="186" t="s">
        <v>170</v>
      </c>
      <c r="H35" s="214">
        <f>IF($D$35="Enter my own",Input!$C$6,IF(AND($D$35="Min ZNZ Threshold",H11&lt;2035),19,14))</f>
        <v>19</v>
      </c>
      <c r="I35" s="214">
        <f>IF($D$35="Enter my own",Input!$C$6,IF(AND($D$35="Min ZNZ Threshold",I11&lt;2035),19,14))</f>
        <v>19</v>
      </c>
      <c r="J35" s="214">
        <f>IF($D$35="Enter my own",Input!$C$6,IF(AND($D$35="Min ZNZ Threshold",J11&lt;2035),19,14))</f>
        <v>19</v>
      </c>
      <c r="K35" s="214">
        <f>IF($D$35="Enter my own",Input!$C$6,IF(AND($D$35="Min ZNZ Threshold",K11&lt;2035),19,14))</f>
        <v>19</v>
      </c>
      <c r="L35" s="214">
        <f>IF($D$35="Enter my own",Input!$C$6,IF(AND($D$35="Min ZNZ Threshold",L11&lt;2035),19,14))</f>
        <v>19</v>
      </c>
      <c r="M35" s="214">
        <f>IF($D$35="Enter my own",Input!$C$6,IF(AND($D$35="Min ZNZ Threshold",M11&lt;2035),19,14))</f>
        <v>19</v>
      </c>
      <c r="N35" s="214">
        <f>IF($D$35="Enter my own",Input!$C$6,IF(AND($D$35="Min ZNZ Threshold",N11&lt;2035),19,14))</f>
        <v>14</v>
      </c>
      <c r="O35" s="214">
        <f>IF($D$35="Enter my own",Input!$C$6,IF(AND($D$35="Min ZNZ Threshold",O11&lt;2035),19,14))</f>
        <v>14</v>
      </c>
      <c r="P35" s="214">
        <f>IF($D$35="Enter my own",Input!$C$6,IF(AND($D$35="Min ZNZ Threshold",P11&lt;2035),19,14))</f>
        <v>14</v>
      </c>
      <c r="Q35" s="214">
        <f>IF($D$35="Enter my own",Input!$C$6,IF(AND($D$35="Min ZNZ Threshold",Q11&lt;2035),19,14))</f>
        <v>14</v>
      </c>
      <c r="R35" s="214">
        <f>IF($D$35="Enter my own",Input!$C$6,IF(AND($D$35="Min ZNZ Threshold",R11&lt;2035),19,14))</f>
        <v>14</v>
      </c>
      <c r="S35" s="214">
        <f>IF($D$35="Enter my own",Input!$C$6,IF(AND($D$35="Min ZNZ Threshold",S11&lt;2035),19,14))</f>
        <v>14</v>
      </c>
    </row>
    <row r="36" spans="2:19" ht="14.25" customHeight="1" x14ac:dyDescent="0.2">
      <c r="B36" s="212"/>
      <c r="C36" s="182" t="s">
        <v>481</v>
      </c>
      <c r="D36" s="213"/>
      <c r="E36" s="184" t="s">
        <v>440</v>
      </c>
      <c r="F36" s="186" t="s">
        <v>441</v>
      </c>
      <c r="G36" s="186" t="s">
        <v>442</v>
      </c>
      <c r="H36" s="214">
        <f t="shared" ref="H36:S36" si="5">H35/1000</f>
        <v>1.9E-2</v>
      </c>
      <c r="I36" s="214">
        <f t="shared" si="5"/>
        <v>1.9E-2</v>
      </c>
      <c r="J36" s="214">
        <f t="shared" si="5"/>
        <v>1.9E-2</v>
      </c>
      <c r="K36" s="214">
        <f t="shared" si="5"/>
        <v>1.9E-2</v>
      </c>
      <c r="L36" s="214">
        <f t="shared" si="5"/>
        <v>1.9E-2</v>
      </c>
      <c r="M36" s="214">
        <f t="shared" si="5"/>
        <v>1.9E-2</v>
      </c>
      <c r="N36" s="214">
        <f t="shared" si="5"/>
        <v>1.4E-2</v>
      </c>
      <c r="O36" s="214">
        <f t="shared" si="5"/>
        <v>1.4E-2</v>
      </c>
      <c r="P36" s="214">
        <f t="shared" si="5"/>
        <v>1.4E-2</v>
      </c>
      <c r="Q36" s="214">
        <f t="shared" si="5"/>
        <v>1.4E-2</v>
      </c>
      <c r="R36" s="214">
        <f t="shared" si="5"/>
        <v>1.4E-2</v>
      </c>
      <c r="S36" s="214">
        <f t="shared" si="5"/>
        <v>1.4E-2</v>
      </c>
    </row>
    <row r="37" spans="2:19" ht="14.25" customHeight="1" x14ac:dyDescent="0.2">
      <c r="B37" s="212"/>
      <c r="C37" s="182" t="s">
        <v>482</v>
      </c>
      <c r="D37" s="213"/>
      <c r="E37" s="184"/>
      <c r="F37" s="186" t="s">
        <v>483</v>
      </c>
      <c r="G37" s="186" t="s">
        <v>460</v>
      </c>
      <c r="H37" s="214">
        <f>MAX((H35-H$4),0)*Assumptions!$E$6</f>
        <v>0</v>
      </c>
      <c r="I37" s="214">
        <f>MAX((I35-I$4),0)*Assumptions!$E$6</f>
        <v>0</v>
      </c>
      <c r="J37" s="214">
        <f>MAX((J35-J$4),0)*Assumptions!$E$6</f>
        <v>0</v>
      </c>
      <c r="K37" s="214">
        <f>MAX((K35-K$4),0)*Assumptions!$E$6</f>
        <v>0</v>
      </c>
      <c r="L37" s="214">
        <f>MAX((L35-L$4),0)*Assumptions!$E$6</f>
        <v>0</v>
      </c>
      <c r="M37" s="214">
        <f>MAX((M35-M$4),0)*Assumptions!$E$6</f>
        <v>0</v>
      </c>
      <c r="N37" s="214">
        <f>MAX((N35-N$4),0)*Assumptions!$E$6</f>
        <v>0</v>
      </c>
      <c r="O37" s="214">
        <f>MAX((O35-O$4),0)*Assumptions!$E$6</f>
        <v>0</v>
      </c>
      <c r="P37" s="214">
        <f>MAX((P35-P$4),0)*Assumptions!$E$6</f>
        <v>0</v>
      </c>
      <c r="Q37" s="214">
        <f>MAX((Q35-Q$4),0)*Assumptions!$E$6</f>
        <v>0</v>
      </c>
      <c r="R37" s="214">
        <f>MAX((R35-R$4),0)*Assumptions!$E$6</f>
        <v>0</v>
      </c>
      <c r="S37" s="214">
        <f>MAX((S35-S$4),0)*Assumptions!$E$6</f>
        <v>0</v>
      </c>
    </row>
    <row r="38" spans="2:19" ht="14.25" customHeight="1" x14ac:dyDescent="0.2">
      <c r="B38" s="212"/>
      <c r="C38" s="182" t="s">
        <v>484</v>
      </c>
      <c r="D38" s="183"/>
      <c r="E38" s="184" t="s">
        <v>448</v>
      </c>
      <c r="F38" s="186" t="s">
        <v>485</v>
      </c>
      <c r="G38" s="186" t="s">
        <v>460</v>
      </c>
      <c r="H38" s="214">
        <f>MIN(MAX(0,(H$35-H$5)),(H$4-H$5))*Assumptions!$E$6</f>
        <v>0</v>
      </c>
      <c r="I38" s="214">
        <f>MIN(MAX(0,(I$35-I$5)),(I$4-I$5))*Assumptions!$E$6</f>
        <v>0</v>
      </c>
      <c r="J38" s="214">
        <f>MIN(MAX(0,(J$35-J$5)),(J$4-J$5))*Assumptions!$E$6</f>
        <v>0</v>
      </c>
      <c r="K38" s="214">
        <f>MIN(MAX(0,(K$35-K$5)),(K$4-K$5))*Assumptions!$E$6</f>
        <v>0</v>
      </c>
      <c r="L38" s="214">
        <f>MIN(MAX(0,(L$35-L$5)),(L$4-L$5))*Assumptions!$E$6</f>
        <v>0</v>
      </c>
      <c r="M38" s="214">
        <f>MIN(MAX(0,(M$35-M$5)),(M$4-M$5))*Assumptions!$E$6</f>
        <v>0</v>
      </c>
      <c r="N38" s="214">
        <f>MIN(MAX(0,(N$35-N$5)),(N$4-N$5))*Assumptions!$E$6</f>
        <v>0</v>
      </c>
      <c r="O38" s="214">
        <f>MIN(MAX(0,(O$35-O$5)),(O$4-O$5))*Assumptions!$E$6</f>
        <v>0</v>
      </c>
      <c r="P38" s="214">
        <f>MIN(MAX(0,(P$35-P$5)),(P$4-P$5))*Assumptions!$E$6</f>
        <v>0</v>
      </c>
      <c r="Q38" s="214">
        <f>MIN(MAX(0,(Q$35-Q$5)),(Q$4-Q$5))*Assumptions!$E$6</f>
        <v>0</v>
      </c>
      <c r="R38" s="214">
        <f>MIN(MAX(0,(R$35-R$5)),(R$4-R$5))*Assumptions!$E$6</f>
        <v>0</v>
      </c>
      <c r="S38" s="214">
        <f>MIN(MAX(0,(S$35-S$5)),(S$4-S$5))*Assumptions!$E$6</f>
        <v>0</v>
      </c>
    </row>
    <row r="39" spans="2:19" ht="14.25" customHeight="1" x14ac:dyDescent="0.2">
      <c r="B39" s="218"/>
      <c r="C39" s="219" t="s">
        <v>486</v>
      </c>
      <c r="D39" s="191"/>
      <c r="E39" s="192" t="s">
        <v>487</v>
      </c>
      <c r="F39" s="193" t="s">
        <v>483</v>
      </c>
      <c r="G39" s="193" t="s">
        <v>465</v>
      </c>
      <c r="H39" s="220">
        <f>MIN((H35-H5)*Assumptions!$E$6,0)</f>
        <v>-2.3308076000000004</v>
      </c>
      <c r="I39" s="220">
        <f>MIN((I35-I5)*Assumptions!$E$6,0)</f>
        <v>-2.2539284000000004</v>
      </c>
      <c r="J39" s="220">
        <f>MIN((J35-J5)*Assumptions!$E$6,0)</f>
        <v>-2.08479416</v>
      </c>
      <c r="K39" s="220">
        <f>MIN((K35-K5)*Assumptions!$E$6,0)</f>
        <v>-1.91565992</v>
      </c>
      <c r="L39" s="220">
        <f>MIN((L35-L5)*Assumptions!$E$6,0)</f>
        <v>-1.7465256799999995</v>
      </c>
      <c r="M39" s="220">
        <f>MIN((M35-M5)*Assumptions!$E$6,0)</f>
        <v>-1.5773914399999998</v>
      </c>
      <c r="N39" s="220">
        <f>MIN((N35-N5)*Assumptions!$E$6,0)</f>
        <v>-1.6142572000000002</v>
      </c>
      <c r="O39" s="220">
        <f>MIN((O35-O5)*Assumptions!$E$6,0)</f>
        <v>-1.34518</v>
      </c>
      <c r="P39" s="220">
        <f>MIN((P35-P5)*Assumptions!$E$6,0)</f>
        <v>-1.0761028000000004</v>
      </c>
      <c r="Q39" s="220">
        <f>MIN((Q35-Q5)*Assumptions!$E$6,0)</f>
        <v>-0.80702560000000001</v>
      </c>
      <c r="R39" s="220">
        <f>MIN((R35-R5)*Assumptions!$E$6,0)</f>
        <v>-0.5379484000000001</v>
      </c>
      <c r="S39" s="220">
        <f>MIN((S35-S5)*Assumptions!$E$6,0)</f>
        <v>-0.26887119999999987</v>
      </c>
    </row>
    <row r="40" spans="2:19" ht="14.25" customHeight="1" x14ac:dyDescent="0.2">
      <c r="B40" s="212"/>
      <c r="C40" s="182" t="s">
        <v>488</v>
      </c>
      <c r="D40" s="215" t="str">
        <f>Input!$C$19</f>
        <v>Modelled ZNZ average</v>
      </c>
      <c r="E40" s="184" t="s">
        <v>427</v>
      </c>
      <c r="F40" s="186"/>
      <c r="G40" s="186" t="s">
        <v>200</v>
      </c>
      <c r="H40" s="214">
        <f>IF($D$40="Enter fixed price",Input!$C$20/(Assumptions!$E$6*1000),INDEX(Assumptions!$B$20:$Z$27,IF($D$40="Modelled ZNZ High",8,IF($D$40="Modelled ZNZ Low",7,6)),MATCH(H$3,Assumptions!$B$20:$Z$20,0)))</f>
        <v>55.25714285714286</v>
      </c>
      <c r="I40" s="214">
        <f>IF($D$40="Enter fixed price",Input!$C$20/(Assumptions!$E$6*1000),INDEX(Assumptions!$B$20:$Z$27,IF($D$40="Modelled ZNZ High",8,IF($D$40="Modelled ZNZ Low",7,6)),MATCH(I$3,Assumptions!$B$20:$Z$20,0)))</f>
        <v>53.85</v>
      </c>
      <c r="J40" s="214">
        <f>IF($D$40="Enter fixed price",Input!$C$20/(Assumptions!$E$6*1000),INDEX(Assumptions!$B$20:$Z$27,IF($D$40="Modelled ZNZ High",8,IF($D$40="Modelled ZNZ Low",7,6)),MATCH(J$3,Assumptions!$B$20:$Z$20,0)))</f>
        <v>53.085000000000001</v>
      </c>
      <c r="K40" s="214">
        <f>IF($D$40="Enter fixed price",Input!$C$20/(Assumptions!$E$6*1000),INDEX(Assumptions!$B$20:$Z$27,IF($D$40="Modelled ZNZ High",8,IF($D$40="Modelled ZNZ Low",7,6)),MATCH(K$3,Assumptions!$B$20:$Z$20,0)))</f>
        <v>52.320000000000007</v>
      </c>
      <c r="L40" s="214">
        <f>IF($D$40="Enter fixed price",Input!$C$20/(Assumptions!$E$6*1000),INDEX(Assumptions!$B$20:$Z$27,IF($D$40="Modelled ZNZ High",8,IF($D$40="Modelled ZNZ Low",7,6)),MATCH(L$3,Assumptions!$B$20:$Z$20,0)))</f>
        <v>51.555</v>
      </c>
      <c r="M40" s="214">
        <f>IF($D$40="Enter fixed price",Input!$C$20/(Assumptions!$E$6*1000),INDEX(Assumptions!$B$20:$Z$27,IF($D$40="Modelled ZNZ High",8,IF($D$40="Modelled ZNZ Low",7,6)),MATCH(M$3,Assumptions!$B$20:$Z$20,0)))</f>
        <v>50.79</v>
      </c>
      <c r="N40" s="214">
        <f>IF($D$40="Enter fixed price",Input!$C$20/(Assumptions!$E$6*1000),INDEX(Assumptions!$B$20:$Z$27,IF($D$40="Modelled ZNZ High",8,IF($D$40="Modelled ZNZ Low",7,6)),MATCH(N$3,Assumptions!$B$20:$Z$20,0)))</f>
        <v>50.024999999999999</v>
      </c>
      <c r="O40" s="214">
        <f>IF($D$40="Enter fixed price",Input!$C$20/(Assumptions!$E$6*1000),INDEX(Assumptions!$B$20:$Z$27,IF($D$40="Modelled ZNZ High",8,IF($D$40="Modelled ZNZ Low",7,6)),MATCH(O$3,Assumptions!$B$20:$Z$20,0)))</f>
        <v>49.260000000000005</v>
      </c>
      <c r="P40" s="214">
        <f>IF($D$40="Enter fixed price",Input!$C$20/(Assumptions!$E$6*1000),INDEX(Assumptions!$B$20:$Z$27,IF($D$40="Modelled ZNZ High",8,IF($D$40="Modelled ZNZ Low",7,6)),MATCH(P$3,Assumptions!$B$20:$Z$20,0)))</f>
        <v>48.495000000000005</v>
      </c>
      <c r="Q40" s="214">
        <f>IF($D$40="Enter fixed price",Input!$C$20/(Assumptions!$E$6*1000),INDEX(Assumptions!$B$20:$Z$27,IF($D$40="Modelled ZNZ High",8,IF($D$40="Modelled ZNZ Low",7,6)),MATCH(Q$3,Assumptions!$B$20:$Z$20,0)))</f>
        <v>47.73</v>
      </c>
      <c r="R40" s="214">
        <f>IF($D$40="Enter fixed price",Input!$C$20/(Assumptions!$E$6*1000),INDEX(Assumptions!$B$20:$Z$27,IF($D$40="Modelled ZNZ High",8,IF($D$40="Modelled ZNZ Low",7,6)),MATCH(R$3,Assumptions!$B$20:$Z$20,0)))</f>
        <v>46.965000000000003</v>
      </c>
      <c r="S40" s="214">
        <f>IF($D$40="Enter fixed price",Input!$C$20/(Assumptions!$E$6*1000),INDEX(Assumptions!$B$20:$Z$27,IF($D$40="Modelled ZNZ High",8,IF($D$40="Modelled ZNZ Low",7,6)),MATCH(S$3,Assumptions!$B$20:$Z$20,0)))</f>
        <v>46.2</v>
      </c>
    </row>
    <row r="41" spans="2:19" ht="14.25" customHeight="1" x14ac:dyDescent="0.2">
      <c r="H41" s="196"/>
      <c r="I41" s="196"/>
      <c r="J41" s="196"/>
      <c r="K41" s="196"/>
      <c r="L41" s="196"/>
      <c r="M41" s="196"/>
      <c r="N41" s="196"/>
      <c r="O41" s="196"/>
      <c r="P41" s="196"/>
      <c r="Q41" s="196"/>
      <c r="R41" s="196"/>
      <c r="S41" s="196"/>
    </row>
    <row r="42" spans="2:19" ht="14.25" customHeight="1" x14ac:dyDescent="0.2">
      <c r="C42" s="163" t="s">
        <v>489</v>
      </c>
      <c r="D42" s="223"/>
      <c r="E42" s="223"/>
      <c r="F42" s="224"/>
      <c r="G42" s="224"/>
      <c r="H42" s="167"/>
      <c r="I42" s="167"/>
      <c r="J42" s="167"/>
      <c r="K42" s="167"/>
      <c r="L42" s="167"/>
      <c r="M42" s="167"/>
      <c r="N42" s="167"/>
      <c r="O42" s="167"/>
      <c r="P42" s="167"/>
      <c r="Q42" s="167"/>
      <c r="R42" s="167"/>
      <c r="S42" s="167"/>
    </row>
    <row r="43" spans="2:19" ht="14.25" customHeight="1" x14ac:dyDescent="0.2">
      <c r="C43" s="225" t="s">
        <v>490</v>
      </c>
      <c r="D43" s="226" t="s">
        <v>437</v>
      </c>
      <c r="E43" s="227" t="s">
        <v>422</v>
      </c>
      <c r="F43" s="227" t="s">
        <v>423</v>
      </c>
      <c r="G43" s="228" t="s">
        <v>159</v>
      </c>
      <c r="H43" s="229">
        <v>2029</v>
      </c>
      <c r="I43" s="229">
        <v>2030</v>
      </c>
      <c r="J43" s="229">
        <v>2031</v>
      </c>
      <c r="K43" s="229">
        <v>2032</v>
      </c>
      <c r="L43" s="229">
        <v>2033</v>
      </c>
      <c r="M43" s="229">
        <v>2034</v>
      </c>
      <c r="N43" s="229">
        <v>2035</v>
      </c>
      <c r="O43" s="230">
        <v>2036</v>
      </c>
      <c r="P43" s="230">
        <v>2037</v>
      </c>
      <c r="Q43" s="229">
        <v>2038</v>
      </c>
      <c r="R43" s="229">
        <v>2039</v>
      </c>
      <c r="S43" s="229">
        <v>2040</v>
      </c>
    </row>
    <row r="44" spans="2:19" ht="14.25" customHeight="1" x14ac:dyDescent="0.2">
      <c r="C44" s="231" t="s">
        <v>164</v>
      </c>
      <c r="D44" s="232" t="str">
        <f>Input!$C$33</f>
        <v>No</v>
      </c>
      <c r="E44" s="221" t="s">
        <v>491</v>
      </c>
      <c r="G44" s="221" t="s">
        <v>492</v>
      </c>
      <c r="H44" s="233" t="str">
        <f>IF($D44="No","NA",IF((H$5-H$35)&lt;=0.01,"NA",MAX(H87,0)+IF($D$8="Yes",0,MAX(0,(H$4-H$5)*(MAX(H87,0)-Proposals!$H$15)/(H$5-H$35)))))</f>
        <v>NA</v>
      </c>
      <c r="I44" s="233" t="str">
        <f>IF($D44="No","NA",IF((I$5-I$35)&lt;=0.01,"NA",MAX(I87,0)+IF($D$8="Yes",0,MAX(0,(I$4-I$5)*(MAX(I87,0)-Proposals!$H$15)/(I$5-I$35)))))</f>
        <v>NA</v>
      </c>
      <c r="J44" s="233" t="str">
        <f>IF($D44="No","NA",IF((J$5-J$35)&lt;=0.01,"NA",MAX(J87,0)+IF($D$8="Yes",0,MAX(0,(J$4-J$5)*(MAX(J87,0)-Proposals!$H$15)/(J$5-J$35)))))</f>
        <v>NA</v>
      </c>
      <c r="K44" s="233" t="str">
        <f>IF($D44="No","NA",IF((K$5-K$35)&lt;=0.01,"NA",MAX(K87,0)+IF($D$8="Yes",0,MAX(0,(K$4-K$5)*(MAX(K87,0)-Proposals!$H$15)/(K$5-K$35)))))</f>
        <v>NA</v>
      </c>
      <c r="L44" s="233" t="str">
        <f>IF($D44="No","NA",IF((L$5-L$35)&lt;=0.01,"NA",MAX(L87,0)+IF($D$8="Yes",0,MAX(0,(L$4-L$5)*(MAX(L87,0)-Proposals!$H$15)/(L$5-L$35)))))</f>
        <v>NA</v>
      </c>
      <c r="M44" s="233" t="str">
        <f>IF($D44="No","NA",IF((M$5-M$35)&lt;=0.01,"NA",MAX(M87,0)+IF($D$8="Yes",0,MAX(0,(M$4-M$5)*(MAX(M87,0)-Proposals!$H$15)/(M$5-M$35)))))</f>
        <v>NA</v>
      </c>
      <c r="N44" s="233" t="str">
        <f>IF($D44="No","NA",IF((N$5-N$35)&lt;=0.01,"NA",MAX(N87,0)+IF($D$8="Yes",0,MAX(0,(N$4-N$5)*(MAX(N87,0)-Proposals!$H$15)/(N$5-N$35)))))</f>
        <v>NA</v>
      </c>
      <c r="O44" s="233" t="str">
        <f>IF($D44="No","NA",IF((O$5-O$35)&lt;=0.01,"NA",MAX(O87,0)+IF($D$8="Yes",0,MAX(0,(O$4-O$5)*(MAX(O87,0)-Proposals!$H$15)/(O$5-O$35)))))</f>
        <v>NA</v>
      </c>
      <c r="P44" s="233" t="str">
        <f>IF($D44="No","NA",IF((P$5-P$35)&lt;=0.01,"NA",MAX(P87,0)+IF($D$8="Yes",0,MAX(0,(P$4-P$5)*(MAX(P87,0)-Proposals!$H$15)/(P$5-P$35)))))</f>
        <v>NA</v>
      </c>
      <c r="Q44" s="233" t="str">
        <f>IF($D44="No","NA",IF((Q$5-Q$35)&lt;=0.01,"NA",MAX(Q87,0)+IF($D$8="Yes",0,MAX(0,(Q$4-Q$5)*(MAX(Q87,0)-Proposals!$H$15)/(Q$5-Q$35)))))</f>
        <v>NA</v>
      </c>
      <c r="R44" s="233" t="str">
        <f>IF($D44="No","NA",IF((R$5-R$35)&lt;=0.01,"NA",MAX(R87,0)+IF($D$8="Yes",0,MAX(0,(R$4-R$5)*(MAX(R87,0)-Proposals!$H$15)/(R$5-R$35)))))</f>
        <v>NA</v>
      </c>
      <c r="S44" s="233" t="str">
        <f>IF($D44="No","NA",IF((S$5-S$35)&lt;=0.01,"NA",MAX(S87,0)+IF($D$8="Yes",0,MAX(0,(S$4-S$5)*(MAX(S87,0)-Proposals!$H$15)/(S$5-S$35)))))</f>
        <v>NA</v>
      </c>
    </row>
    <row r="45" spans="2:19" ht="14.25" customHeight="1" x14ac:dyDescent="0.2">
      <c r="B45" s="174"/>
      <c r="C45" s="234" t="s">
        <v>493</v>
      </c>
      <c r="D45" s="235" t="str">
        <f>Input!$C$31</f>
        <v>Yes</v>
      </c>
      <c r="E45" s="176" t="s">
        <v>494</v>
      </c>
      <c r="F45" s="236"/>
      <c r="G45" s="176" t="s">
        <v>492</v>
      </c>
      <c r="H45" s="237">
        <f>IF($D45="No","NA",IF((H$5-H$27)&lt;=0.01,"NA",MAX(H55,0)+IF($D$8="Yes",0,MAX(0,(H$4-H$5)*(MAX(H55,0)-Proposals!$H$15)/(H$5-H$27)))))</f>
        <v>242.98973171390992</v>
      </c>
      <c r="I45" s="237">
        <f>IF($D45="No","NA",IF((I$5-I$27)&lt;=0.01,"NA",MAX(I55,0)+IF($D$8="Yes",0,MAX(0,(I$4-I$5)*(MAX(I55,0)-Proposals!$H$15)/(I$5-I$27)))))</f>
        <v>254.28865349256259</v>
      </c>
      <c r="J45" s="237">
        <f>IF($D45="No","NA",IF((J$5-J$27)&lt;=0.01,"NA",MAX(J55,0)+IF($D$8="Yes",0,MAX(0,(J$4-J$5)*(MAX(J55,0)-Proposals!$H$15)/(J$5-J$27)))))</f>
        <v>265.89812156597748</v>
      </c>
      <c r="K45" s="237">
        <f>IF($D45="No","NA",IF((K$5-K$27)&lt;=0.01,"NA",MAX(K55,0)+IF($D$8="Yes",0,MAX(0,(K$4-K$5)*(MAX(K55,0)-Proposals!$H$15)/(K$5-K$27)))))</f>
        <v>278.33755663938342</v>
      </c>
      <c r="L45" s="237">
        <f>IF($D45="No","NA",IF((L$5-L$27)&lt;=0.01,"NA",MAX(L55,0)+IF($D$8="Yes",0,MAX(0,(L$4-L$5)*(MAX(L55,0)-Proposals!$H$15)/(L$5-L$27)))))</f>
        <v>293.65138589372719</v>
      </c>
      <c r="M45" s="237">
        <f>IF($D45="No","NA",IF((M$5-M$27)&lt;=0.01,"NA",MAX(M55,0)+IF($D$8="Yes",0,MAX(0,(M$4-M$5)*(MAX(M55,0)-Proposals!$H$15)/(M$5-M$27)))))</f>
        <v>308.70227779627811</v>
      </c>
      <c r="N45" s="237">
        <f>IF($D45="No","NA",IF((N$5-N$27)&lt;=0.01,"NA",MAX(N55,0)+IF($D$8="Yes",0,MAX(0,(N$4-N$5)*(MAX(N55,0)-Proposals!$H$15)/(N$5-N$27)))))</f>
        <v>325.8218929459415</v>
      </c>
      <c r="O45" s="237">
        <f>IF($D45="No","NA",IF((O$5-O$27)&lt;=0.01,"NA",MAX(O55,0)+IF($D$8="Yes",0,MAX(0,(O$4-O$5)*(MAX(O55,0)-Proposals!$H$15)/(O$5-O$27)))))</f>
        <v>353.503374898473</v>
      </c>
      <c r="P45" s="237">
        <f>IF($D45="No","NA",IF((P$5-P$27)&lt;=0.01,"NA",MAX(P55,0)+IF($D$8="Yes",0,MAX(0,(P$4-P$5)*(MAX(P55,0)-Proposals!$H$15)/(P$5-P$27)))))</f>
        <v>396.03052586890936</v>
      </c>
      <c r="Q45" s="237">
        <f>IF($D45="No","NA",IF((Q$5-Q$27)&lt;=0.01,"NA",MAX(Q55,0)+IF($D$8="Yes",0,MAX(0,(Q$4-Q$5)*(MAX(Q55,0)-Proposals!$H$15)/(Q$5-Q$27)))))</f>
        <v>481.57192133703597</v>
      </c>
      <c r="R45" s="237">
        <f>IF($D45="No","NA",IF((R$5-R$27)&lt;=0.01,"NA",MAX(R55,0)+IF($D$8="Yes",0,MAX(0,(R$4-R$5)*(MAX(R55,0)-Proposals!$H$15)/(R$5-R$27)))))</f>
        <v>766.0002288375515</v>
      </c>
      <c r="S45" s="237" t="str">
        <f>IF($D45="No","NA",IF((S$5-S$27)&lt;=0.01,"NA",MAX(S55,0)+IF($D$8="Yes",0,MAX(0,(S$4-S$5)*(MAX(S55,0)-Proposals!$H$15)/(S$5-S$27)))))</f>
        <v>NA</v>
      </c>
    </row>
    <row r="46" spans="2:19" ht="14.25" customHeight="1" x14ac:dyDescent="0.2">
      <c r="B46" s="181"/>
      <c r="C46" s="238" t="s">
        <v>495</v>
      </c>
      <c r="D46" s="215" t="str">
        <f>Input!$C$32</f>
        <v>Yes</v>
      </c>
      <c r="E46" s="183" t="s">
        <v>494</v>
      </c>
      <c r="F46" s="239"/>
      <c r="G46" s="183" t="s">
        <v>492</v>
      </c>
      <c r="H46" s="240">
        <f>IF($D46="No","NA",IF((H$5-H$31)&lt;=0.01,"NA",MAX(H69,0)+IF($D$8="Yes",0,MAX(0,(H$4-H$5)*(MAX(H69,0)-Proposals!$H$15)/(H$5-H$31)))))</f>
        <v>269.26287462694688</v>
      </c>
      <c r="I46" s="240">
        <f>IF($D46="No","NA",IF((I$5-I$31)&lt;=0.01,"NA",MAX(I69,0)+IF($D$8="Yes",0,MAX(0,(I$4-I$5)*(MAX(I69,0)-Proposals!$H$15)/(I$5-I$31)))))</f>
        <v>291.69651106982474</v>
      </c>
      <c r="J46" s="240">
        <f>IF($D46="No","NA",IF((J$5-J$31)&lt;=0.01,"NA",MAX(J69,0)+IF($D$8="Yes",0,MAX(0,(J$4-J$5)*(MAX(J69,0)-Proposals!$H$15)/(J$5-J$31)))))</f>
        <v>302.76927408914941</v>
      </c>
      <c r="K46" s="240">
        <f>IF($D46="No","NA",IF((K$5-K$31)&lt;=0.01,"NA",MAX(K69,0)+IF($D$8="Yes",0,MAX(0,(K$4-K$5)*(MAX(K69,0)-Proposals!$H$15)/(K$5-K$31)))))</f>
        <v>312.67458180470629</v>
      </c>
      <c r="L46" s="240">
        <f>IF($D46="No","NA",IF((L$5-L$31)&lt;=0.01,"NA",MAX(L69,0)+IF($D$8="Yes",0,MAX(0,(L$4-L$5)*(MAX(L69,0)-Proposals!$H$15)/(L$5-L$31)))))</f>
        <v>325.63861700374349</v>
      </c>
      <c r="M46" s="240">
        <f>IF($D46="No","NA",IF((M$5-M$31)&lt;=0.01,"NA",MAX(M69,0)+IF($D$8="Yes",0,MAX(0,(M$4-M$5)*(MAX(M69,0)-Proposals!$H$15)/(M$5-M$31)))))</f>
        <v>340.05453503715188</v>
      </c>
      <c r="N46" s="240">
        <f>IF($D46="No","NA",IF((N$5-N$31)&lt;=0.01,"NA",MAX(N69,0)+IF($D$8="Yes",0,MAX(0,(N$4-N$5)*(MAX(N69,0)-Proposals!$H$15)/(N$5-N$31)))))</f>
        <v>356.47147986366838</v>
      </c>
      <c r="O46" s="240">
        <f>IF($D46="No","NA",IF((O$5-O$31)&lt;=0.01,"NA",MAX(O69,0)+IF($D$8="Yes",0,MAX(0,(O$4-O$5)*(MAX(O69,0)-Proposals!$H$15)/(O$5-O$31)))))</f>
        <v>381.1184831539083</v>
      </c>
      <c r="P46" s="240">
        <f>IF($D46="No","NA",IF((P$5-P$31)&lt;=0.01,"NA",MAX(P69,0)+IF($D$8="Yes",0,MAX(0,(P$4-P$5)*(MAX(P69,0)-Proposals!$H$15)/(P$5-P$31)))))</f>
        <v>421.55735700257685</v>
      </c>
      <c r="Q46" s="240">
        <f>IF($D46="No","NA",IF((Q$5-Q$31)&lt;=0.01,"NA",MAX(Q69,0)+IF($D$8="Yes",0,MAX(0,(Q$4-Q$5)*(MAX(Q69,0)-Proposals!$H$15)/(Q$5-Q$31)))))</f>
        <v>496.20048557062637</v>
      </c>
      <c r="R46" s="240">
        <f>IF($D46="No","NA",IF((R$5-R$31)&lt;=0.01,"NA",MAX(R69,0)+IF($D$8="Yes",0,MAX(0,(R$4-R$5)*(MAX(R69,0)-Proposals!$H$15)/(R$5-R$31)))))</f>
        <v>704.59668384368126</v>
      </c>
      <c r="S46" s="240" t="str">
        <f>IF($D46="No","NA",IF((S$5-S$31)&lt;=0.01,"NA",MAX(S69,0)+IF($D$8="Yes",0,MAX(0,(S$4-S$5)*(MAX(S69,0)-Proposals!$H$15)/(S$5-S$31)))))</f>
        <v>NA</v>
      </c>
    </row>
    <row r="47" spans="2:19" ht="14.25" customHeight="1" x14ac:dyDescent="0.2">
      <c r="B47" s="181"/>
      <c r="C47" s="238" t="s">
        <v>496</v>
      </c>
      <c r="D47" s="183"/>
      <c r="E47" s="183" t="s">
        <v>497</v>
      </c>
      <c r="F47" s="239"/>
      <c r="G47" s="183" t="s">
        <v>498</v>
      </c>
      <c r="H47" s="240">
        <f>Assumptions!E14</f>
        <v>380</v>
      </c>
      <c r="I47" s="240">
        <f>Assumptions!F14</f>
        <v>380</v>
      </c>
      <c r="J47" s="240">
        <f>Assumptions!G14</f>
        <v>380</v>
      </c>
      <c r="K47" s="240">
        <f>Assumptions!H14</f>
        <v>380</v>
      </c>
      <c r="L47" s="240">
        <f>Assumptions!I14</f>
        <v>380</v>
      </c>
      <c r="M47" s="240">
        <f>Assumptions!J14</f>
        <v>380</v>
      </c>
      <c r="N47" s="240">
        <f>Assumptions!K14</f>
        <v>380</v>
      </c>
      <c r="O47" s="240">
        <f>Assumptions!L14</f>
        <v>380</v>
      </c>
      <c r="P47" s="240">
        <f>Assumptions!M14</f>
        <v>380</v>
      </c>
      <c r="Q47" s="240">
        <f>Assumptions!N14</f>
        <v>380</v>
      </c>
      <c r="R47" s="240">
        <f>Assumptions!O14</f>
        <v>380</v>
      </c>
      <c r="S47" s="240">
        <f>Assumptions!P14</f>
        <v>380</v>
      </c>
    </row>
    <row r="48" spans="2:19" ht="14.25" customHeight="1" x14ac:dyDescent="0.2">
      <c r="B48" s="189"/>
      <c r="C48" s="241" t="s">
        <v>499</v>
      </c>
      <c r="D48" s="242"/>
      <c r="E48" s="242" t="s">
        <v>500</v>
      </c>
      <c r="F48" s="243"/>
      <c r="G48" s="242" t="s">
        <v>501</v>
      </c>
      <c r="H48" s="244">
        <f>MIN(H49,H47)</f>
        <v>242.98973171390992</v>
      </c>
      <c r="I48" s="244">
        <f t="shared" ref="I48:R48" si="6">MIN(I49,I47)</f>
        <v>254.28865349256259</v>
      </c>
      <c r="J48" s="244">
        <f t="shared" si="6"/>
        <v>265.89812156597748</v>
      </c>
      <c r="K48" s="244">
        <f t="shared" si="6"/>
        <v>278.33755663938342</v>
      </c>
      <c r="L48" s="244">
        <f t="shared" si="6"/>
        <v>293.65138589372719</v>
      </c>
      <c r="M48" s="244">
        <f t="shared" si="6"/>
        <v>308.70227779627811</v>
      </c>
      <c r="N48" s="244">
        <f t="shared" si="6"/>
        <v>325.8218929459415</v>
      </c>
      <c r="O48" s="244">
        <f t="shared" si="6"/>
        <v>353.503374898473</v>
      </c>
      <c r="P48" s="244">
        <f t="shared" si="6"/>
        <v>380</v>
      </c>
      <c r="Q48" s="244">
        <f t="shared" si="6"/>
        <v>380</v>
      </c>
      <c r="R48" s="244">
        <f t="shared" si="6"/>
        <v>380</v>
      </c>
      <c r="S48" s="244">
        <f>MIN(S49,S47)</f>
        <v>380</v>
      </c>
    </row>
    <row r="49" spans="2:22" ht="14.25" customHeight="1" x14ac:dyDescent="0.2">
      <c r="B49" s="181"/>
      <c r="C49" s="63" t="s">
        <v>502</v>
      </c>
      <c r="D49" s="245"/>
      <c r="E49" s="245"/>
      <c r="F49" s="246"/>
      <c r="G49" s="245"/>
      <c r="H49" s="247">
        <f>IF(COUNT(H44:H46)=0,H47,MIN(H44:H46))</f>
        <v>242.98973171390992</v>
      </c>
      <c r="I49" s="247">
        <f>IF(COUNT(I44:I46)=0,I47,MIN(I44:I46))</f>
        <v>254.28865349256259</v>
      </c>
      <c r="J49" s="247">
        <f t="shared" ref="J49:S49" si="7">IF(COUNT(J44:J46)=0,J47,MIN(J44:J46))</f>
        <v>265.89812156597748</v>
      </c>
      <c r="K49" s="247">
        <f t="shared" si="7"/>
        <v>278.33755663938342</v>
      </c>
      <c r="L49" s="247">
        <f t="shared" si="7"/>
        <v>293.65138589372719</v>
      </c>
      <c r="M49" s="247">
        <f t="shared" si="7"/>
        <v>308.70227779627811</v>
      </c>
      <c r="N49" s="247">
        <f>IF(COUNT(N44:N46)=0,N47,MIN(N44:N46))</f>
        <v>325.8218929459415</v>
      </c>
      <c r="O49" s="247">
        <f t="shared" si="7"/>
        <v>353.503374898473</v>
      </c>
      <c r="P49" s="247">
        <f t="shared" si="7"/>
        <v>396.03052586890936</v>
      </c>
      <c r="Q49" s="247">
        <f t="shared" si="7"/>
        <v>481.57192133703597</v>
      </c>
      <c r="R49" s="247">
        <f>IF(COUNT(R44:R46)=0,R47,MIN(R44:R46))</f>
        <v>704.59668384368126</v>
      </c>
      <c r="S49" s="247">
        <f t="shared" si="7"/>
        <v>380</v>
      </c>
    </row>
    <row r="51" spans="2:22" ht="14.25" customHeight="1" x14ac:dyDescent="0.2">
      <c r="C51" s="163" t="s">
        <v>503</v>
      </c>
      <c r="D51" s="165"/>
      <c r="E51" s="165"/>
      <c r="F51" s="166"/>
      <c r="G51" s="166"/>
      <c r="H51" s="167"/>
      <c r="I51" s="167"/>
      <c r="J51" s="167"/>
      <c r="K51" s="167"/>
      <c r="L51" s="167"/>
      <c r="M51" s="167"/>
      <c r="N51" s="167"/>
      <c r="O51" s="167"/>
      <c r="P51" s="167"/>
      <c r="Q51" s="167"/>
      <c r="R51" s="167"/>
      <c r="S51" s="167"/>
    </row>
    <row r="52" spans="2:22" s="248" customFormat="1" ht="14.25" customHeight="1" x14ac:dyDescent="0.2">
      <c r="B52" s="162"/>
      <c r="C52" s="202" t="s">
        <v>436</v>
      </c>
      <c r="D52" s="204" t="s">
        <v>437</v>
      </c>
      <c r="E52" s="204" t="s">
        <v>422</v>
      </c>
      <c r="F52" s="204" t="s">
        <v>423</v>
      </c>
      <c r="G52" s="205" t="s">
        <v>159</v>
      </c>
      <c r="H52" s="206">
        <v>2029</v>
      </c>
      <c r="I52" s="206">
        <v>2030</v>
      </c>
      <c r="J52" s="206">
        <v>2031</v>
      </c>
      <c r="K52" s="206">
        <v>2032</v>
      </c>
      <c r="L52" s="206">
        <v>2033</v>
      </c>
      <c r="M52" s="206">
        <v>2034</v>
      </c>
      <c r="N52" s="206">
        <v>2035</v>
      </c>
      <c r="O52" s="207">
        <v>2036</v>
      </c>
      <c r="P52" s="207">
        <v>2037</v>
      </c>
      <c r="Q52" s="206">
        <v>2038</v>
      </c>
      <c r="R52" s="206">
        <v>2039</v>
      </c>
      <c r="S52" s="206">
        <v>2040</v>
      </c>
    </row>
    <row r="53" spans="2:22" s="248" customFormat="1" ht="14.25" customHeight="1" x14ac:dyDescent="0.2">
      <c r="B53" s="174"/>
      <c r="C53" s="175" t="s">
        <v>504</v>
      </c>
      <c r="D53" s="177"/>
      <c r="E53" s="177" t="s">
        <v>505</v>
      </c>
      <c r="F53" s="179" t="s">
        <v>506</v>
      </c>
      <c r="G53" s="179" t="s">
        <v>200</v>
      </c>
      <c r="H53" s="211">
        <f t="shared" ref="H53:S53" si="8">H$30-H$16</f>
        <v>15.885714285714286</v>
      </c>
      <c r="I53" s="211">
        <f t="shared" si="8"/>
        <v>16.5</v>
      </c>
      <c r="J53" s="211">
        <f t="shared" si="8"/>
        <v>17.03</v>
      </c>
      <c r="K53" s="211">
        <f t="shared" si="8"/>
        <v>17.559999999999999</v>
      </c>
      <c r="L53" s="211">
        <f t="shared" si="8"/>
        <v>18.190000000000005</v>
      </c>
      <c r="M53" s="211">
        <f t="shared" si="8"/>
        <v>18.72</v>
      </c>
      <c r="N53" s="211">
        <f t="shared" si="8"/>
        <v>19.25</v>
      </c>
      <c r="O53" s="211">
        <f t="shared" si="8"/>
        <v>19.78</v>
      </c>
      <c r="P53" s="211">
        <f t="shared" si="8"/>
        <v>20.309999999999995</v>
      </c>
      <c r="Q53" s="211">
        <f t="shared" si="8"/>
        <v>20.939999999999998</v>
      </c>
      <c r="R53" s="211">
        <f t="shared" si="8"/>
        <v>21.470000000000002</v>
      </c>
      <c r="S53" s="211">
        <f t="shared" si="8"/>
        <v>22</v>
      </c>
    </row>
    <row r="54" spans="2:22" ht="14.25" customHeight="1" x14ac:dyDescent="0.2">
      <c r="B54" s="181"/>
      <c r="C54" s="182" t="s">
        <v>507</v>
      </c>
      <c r="D54" s="184"/>
      <c r="E54" s="184"/>
      <c r="F54" s="186" t="s">
        <v>508</v>
      </c>
      <c r="G54" s="186" t="s">
        <v>509</v>
      </c>
      <c r="H54" s="214">
        <f t="shared" ref="H54:S54" si="9">H$13-H$28</f>
        <v>7.3360000000000009E-2</v>
      </c>
      <c r="I54" s="214">
        <f t="shared" si="9"/>
        <v>7.3360000000000009E-2</v>
      </c>
      <c r="J54" s="214">
        <f t="shared" si="9"/>
        <v>7.3360000000000009E-2</v>
      </c>
      <c r="K54" s="214">
        <f t="shared" si="9"/>
        <v>7.3360000000000009E-2</v>
      </c>
      <c r="L54" s="214">
        <f t="shared" si="9"/>
        <v>7.3360000000000009E-2</v>
      </c>
      <c r="M54" s="214">
        <f t="shared" si="9"/>
        <v>7.3360000000000009E-2</v>
      </c>
      <c r="N54" s="214">
        <f t="shared" si="9"/>
        <v>7.3360000000000009E-2</v>
      </c>
      <c r="O54" s="214">
        <f t="shared" si="9"/>
        <v>7.3360000000000009E-2</v>
      </c>
      <c r="P54" s="214">
        <f t="shared" si="9"/>
        <v>7.3360000000000009E-2</v>
      </c>
      <c r="Q54" s="214">
        <f t="shared" si="9"/>
        <v>7.3360000000000009E-2</v>
      </c>
      <c r="R54" s="214">
        <f t="shared" si="9"/>
        <v>7.3360000000000009E-2</v>
      </c>
      <c r="S54" s="214">
        <f t="shared" si="9"/>
        <v>7.3360000000000009E-2</v>
      </c>
    </row>
    <row r="55" spans="2:22" ht="14.25" customHeight="1" x14ac:dyDescent="0.2">
      <c r="B55" s="249" t="s">
        <v>510</v>
      </c>
      <c r="C55" s="182" t="s">
        <v>511</v>
      </c>
      <c r="D55" s="184"/>
      <c r="E55" s="184" t="s">
        <v>512</v>
      </c>
      <c r="F55" s="186" t="s">
        <v>513</v>
      </c>
      <c r="G55" s="186" t="s">
        <v>492</v>
      </c>
      <c r="H55" s="214">
        <f t="shared" ref="H55:S55" si="10">H53/H54</f>
        <v>216.54463312042373</v>
      </c>
      <c r="I55" s="214">
        <f t="shared" si="10"/>
        <v>224.9182115594329</v>
      </c>
      <c r="J55" s="214">
        <f t="shared" si="10"/>
        <v>232.14285714285714</v>
      </c>
      <c r="K55" s="214">
        <f t="shared" si="10"/>
        <v>239.36750272628132</v>
      </c>
      <c r="L55" s="214">
        <f t="shared" si="10"/>
        <v>247.95528898582339</v>
      </c>
      <c r="M55" s="214">
        <f t="shared" si="10"/>
        <v>255.17993456924751</v>
      </c>
      <c r="N55" s="214">
        <f t="shared" si="10"/>
        <v>262.40458015267171</v>
      </c>
      <c r="O55" s="214">
        <f t="shared" si="10"/>
        <v>269.62922573609598</v>
      </c>
      <c r="P55" s="214">
        <f t="shared" si="10"/>
        <v>276.85387131952007</v>
      </c>
      <c r="Q55" s="214">
        <f t="shared" si="10"/>
        <v>285.44165757906211</v>
      </c>
      <c r="R55" s="214">
        <f t="shared" si="10"/>
        <v>292.66630316248637</v>
      </c>
      <c r="S55" s="214">
        <f t="shared" si="10"/>
        <v>299.89094874591052</v>
      </c>
    </row>
    <row r="56" spans="2:22" ht="14.25" customHeight="1" x14ac:dyDescent="0.2">
      <c r="B56" s="181"/>
      <c r="C56" s="182" t="s">
        <v>514</v>
      </c>
      <c r="D56" s="184"/>
      <c r="E56" s="184" t="s">
        <v>515</v>
      </c>
      <c r="F56" s="186" t="s">
        <v>516</v>
      </c>
      <c r="G56" s="186" t="s">
        <v>498</v>
      </c>
      <c r="H56" s="214">
        <f>MIN(H55,Assumptions!E$14)</f>
        <v>216.54463312042373</v>
      </c>
      <c r="I56" s="214">
        <f>MIN(I55,Assumptions!F$14)</f>
        <v>224.9182115594329</v>
      </c>
      <c r="J56" s="214">
        <f>MIN(J55,Assumptions!G$14)</f>
        <v>232.14285714285714</v>
      </c>
      <c r="K56" s="214">
        <f>MIN(K55,Assumptions!H$14)</f>
        <v>239.36750272628132</v>
      </c>
      <c r="L56" s="214">
        <f>MIN(L55,Assumptions!I$14)</f>
        <v>247.95528898582339</v>
      </c>
      <c r="M56" s="214">
        <f>MIN(M55,Assumptions!J$14)</f>
        <v>255.17993456924751</v>
      </c>
      <c r="N56" s="214">
        <f>MIN(N55,Assumptions!K$14)</f>
        <v>262.40458015267171</v>
      </c>
      <c r="O56" s="214">
        <f>MIN(O55,Assumptions!L$14)</f>
        <v>269.62922573609598</v>
      </c>
      <c r="P56" s="214">
        <f>MIN(P55,Assumptions!M$14)</f>
        <v>276.85387131952007</v>
      </c>
      <c r="Q56" s="214">
        <f>MIN(Q55,Assumptions!N$14)</f>
        <v>285.44165757906211</v>
      </c>
      <c r="R56" s="214">
        <f>MIN(R55,Assumptions!O$14)</f>
        <v>292.66630316248637</v>
      </c>
      <c r="S56" s="214">
        <f>MIN(S55,Assumptions!P$14)</f>
        <v>299.89094874591052</v>
      </c>
    </row>
    <row r="57" spans="2:22" ht="14.25" customHeight="1" x14ac:dyDescent="0.2">
      <c r="B57" s="181"/>
      <c r="C57" s="182" t="s">
        <v>517</v>
      </c>
      <c r="D57" s="184"/>
      <c r="E57" s="184" t="s">
        <v>518</v>
      </c>
      <c r="F57" s="186" t="s">
        <v>516</v>
      </c>
      <c r="G57" s="186"/>
      <c r="H57" s="214" t="str">
        <f>IF(H56=Assumptions!E$14,Assumptions!$B$14,$C$55)</f>
        <v>Bio-diesel blend abatement cost</v>
      </c>
      <c r="I57" s="214" t="str">
        <f>IF(I56=Assumptions!F$14,Assumptions!$B$14,$C$55)</f>
        <v>Bio-diesel blend abatement cost</v>
      </c>
      <c r="J57" s="214" t="str">
        <f>IF(J56=Assumptions!G$14,Assumptions!$B$14,$C$55)</f>
        <v>Bio-diesel blend abatement cost</v>
      </c>
      <c r="K57" s="214" t="str">
        <f>IF(K56=Assumptions!H$14,Assumptions!$B$14,$C$55)</f>
        <v>Bio-diesel blend abatement cost</v>
      </c>
      <c r="L57" s="214" t="str">
        <f>IF(L56=Assumptions!I$14,Assumptions!$B$14,$C$55)</f>
        <v>Bio-diesel blend abatement cost</v>
      </c>
      <c r="M57" s="214" t="str">
        <f>IF(M56=Assumptions!J$14,Assumptions!$B$14,$C$55)</f>
        <v>Bio-diesel blend abatement cost</v>
      </c>
      <c r="N57" s="214" t="str">
        <f>IF(N56=Assumptions!K$14,Assumptions!$B$14,$C$55)</f>
        <v>Bio-diesel blend abatement cost</v>
      </c>
      <c r="O57" s="214" t="str">
        <f>IF(O56=Assumptions!L$14,Assumptions!$B$14,$C$55)</f>
        <v>Bio-diesel blend abatement cost</v>
      </c>
      <c r="P57" s="214" t="str">
        <f>IF(P56=Assumptions!M$14,Assumptions!$B$14,$C$55)</f>
        <v>Bio-diesel blend abatement cost</v>
      </c>
      <c r="Q57" s="214" t="str">
        <f>IF(Q56=Assumptions!N$14,Assumptions!$B$14,$C$55)</f>
        <v>Bio-diesel blend abatement cost</v>
      </c>
      <c r="R57" s="214" t="str">
        <f>IF(R56=Assumptions!O$14,Assumptions!$B$14,$C$55)</f>
        <v>Bio-diesel blend abatement cost</v>
      </c>
      <c r="S57" s="214" t="str">
        <f>IF(S56=Assumptions!P$14,Assumptions!$B$14,$C$55)</f>
        <v>Bio-diesel blend abatement cost</v>
      </c>
    </row>
    <row r="58" spans="2:22" ht="14.25" customHeight="1" x14ac:dyDescent="0.2">
      <c r="B58" s="181"/>
      <c r="C58" s="182" t="s">
        <v>519</v>
      </c>
      <c r="D58" s="184"/>
      <c r="E58" s="184" t="s">
        <v>520</v>
      </c>
      <c r="F58" s="186" t="s">
        <v>521</v>
      </c>
      <c r="G58" s="186" t="s">
        <v>468</v>
      </c>
      <c r="H58" s="214">
        <f>IF(H57=Assumptions!$B$14,H$17,H$55*H$14)</f>
        <v>69.392507244119059</v>
      </c>
      <c r="I58" s="214">
        <f>IF(I57=Assumptions!$B$14,I$17,I$55*I$14)</f>
        <v>89.367382769901894</v>
      </c>
      <c r="J58" s="214">
        <f>IF(J57=Assumptions!$B$14,J$17,J$55*J$14)</f>
        <v>131.50127714285713</v>
      </c>
      <c r="K58" s="214">
        <f>IF(K57=Assumptions!$B$14,K$17,K$55*K$14)</f>
        <v>176.07904139585614</v>
      </c>
      <c r="L58" s="214">
        <f>IF(L57=Assumptions!$B$14,L$17,L$55*L$14)</f>
        <v>224.33395731733927</v>
      </c>
      <c r="M58" s="214">
        <f>IF(M57=Assumptions!$B$14,M$17,M$55*M$14)</f>
        <v>274.03001509269359</v>
      </c>
      <c r="N58" s="214">
        <f>IF(N57=Assumptions!$B$14,N$17,N$55*N$14)</f>
        <v>326.16994274809173</v>
      </c>
      <c r="O58" s="214">
        <f>IF(O57=Assumptions!$B$14,O$17,O$55*O$14)</f>
        <v>407.70128320610701</v>
      </c>
      <c r="P58" s="214">
        <f>IF(P57=Assumptions!$B$14,P$17,P$55*P$14)</f>
        <v>493.12059847328226</v>
      </c>
      <c r="Q58" s="214">
        <f>IF(Q57=Assumptions!$B$14,Q$17,Q$55*Q$14)</f>
        <v>585.22264809160299</v>
      </c>
      <c r="R58" s="214">
        <f>IF(R57=Assumptions!$B$14,R$17,R$55*R$14)</f>
        <v>678.78470305343512</v>
      </c>
      <c r="S58" s="214">
        <f>IF(S57=Assumptions!$B$14,S$17,S$55*S$14)</f>
        <v>776.23473282442751</v>
      </c>
    </row>
    <row r="59" spans="2:22" ht="14.25" customHeight="1" x14ac:dyDescent="0.2">
      <c r="B59" s="249" t="s">
        <v>522</v>
      </c>
      <c r="C59" s="182" t="s">
        <v>523</v>
      </c>
      <c r="D59" s="184"/>
      <c r="E59" s="184" t="s">
        <v>520</v>
      </c>
      <c r="F59" s="186" t="s">
        <v>516</v>
      </c>
      <c r="G59" s="186" t="s">
        <v>468</v>
      </c>
      <c r="H59" s="214">
        <f t="shared" ref="H59:S59" si="11">IF($D$8="Yes",H$15*H$48,H$18)</f>
        <v>49.971479999999964</v>
      </c>
      <c r="I59" s="214">
        <f t="shared" si="11"/>
        <v>49.971479999999964</v>
      </c>
      <c r="J59" s="214">
        <f t="shared" si="11"/>
        <v>49.971480000000021</v>
      </c>
      <c r="K59" s="214">
        <f t="shared" si="11"/>
        <v>49.971479999999964</v>
      </c>
      <c r="L59" s="214">
        <f t="shared" si="11"/>
        <v>49.971480000000021</v>
      </c>
      <c r="M59" s="214">
        <f t="shared" si="11"/>
        <v>49.971480000000021</v>
      </c>
      <c r="N59" s="214">
        <f t="shared" si="11"/>
        <v>49.971479999999936</v>
      </c>
      <c r="O59" s="214">
        <f t="shared" si="11"/>
        <v>49.971479999999993</v>
      </c>
      <c r="P59" s="214">
        <f t="shared" si="11"/>
        <v>49.971479999999993</v>
      </c>
      <c r="Q59" s="214">
        <f t="shared" si="11"/>
        <v>49.971479999999993</v>
      </c>
      <c r="R59" s="214">
        <f t="shared" si="11"/>
        <v>49.971479999999993</v>
      </c>
      <c r="S59" s="214">
        <f t="shared" si="11"/>
        <v>49.971479999999993</v>
      </c>
      <c r="V59" s="162"/>
    </row>
    <row r="60" spans="2:22" ht="14.25" customHeight="1" x14ac:dyDescent="0.2">
      <c r="B60" s="212" t="s">
        <v>524</v>
      </c>
      <c r="C60" s="250" t="s">
        <v>525</v>
      </c>
      <c r="D60" s="251" t="str">
        <f>Input!$C$23</f>
        <v>Blend in bio-diesel when cheaper than RUs</v>
      </c>
      <c r="E60" s="252" t="s">
        <v>526</v>
      </c>
      <c r="F60" s="253"/>
      <c r="G60" s="253" t="s">
        <v>468</v>
      </c>
      <c r="H60" s="254">
        <f>H16*Assumptions!$E$6*1000</f>
        <v>602.10857142857139</v>
      </c>
      <c r="I60" s="254">
        <f>I16*Assumptions!$E$6*1000</f>
        <v>593.28</v>
      </c>
      <c r="J60" s="254">
        <f>J16*Assumptions!$E$6*1000</f>
        <v>587.92399999999998</v>
      </c>
      <c r="K60" s="254">
        <f>K16*Assumptions!$E$6*1000</f>
        <v>582.5680000000001</v>
      </c>
      <c r="L60" s="254">
        <f>L16*Assumptions!$E$6*1000</f>
        <v>577.21199999999999</v>
      </c>
      <c r="M60" s="254">
        <f>M16*Assumptions!$E$6*1000</f>
        <v>571.85599999999999</v>
      </c>
      <c r="N60" s="254">
        <f>N16*Assumptions!$E$6*1000</f>
        <v>566.5</v>
      </c>
      <c r="O60" s="254">
        <f>O16*Assumptions!$E$6*1000</f>
        <v>561.14400000000001</v>
      </c>
      <c r="P60" s="254">
        <f>P16*Assumptions!$E$6*1000</f>
        <v>555.78800000000001</v>
      </c>
      <c r="Q60" s="254">
        <f>Q16*Assumptions!$E$6*1000</f>
        <v>550.43200000000002</v>
      </c>
      <c r="R60" s="254">
        <f>R16*Assumptions!$E$6*1000</f>
        <v>545.07600000000002</v>
      </c>
      <c r="S60" s="254">
        <f>S16*Assumptions!$E$6*1000</f>
        <v>539.72</v>
      </c>
    </row>
    <row r="61" spans="2:22" ht="14.25" customHeight="1" x14ac:dyDescent="0.2">
      <c r="B61" s="181"/>
      <c r="C61" s="250" t="s">
        <v>527</v>
      </c>
      <c r="D61" s="252"/>
      <c r="E61" s="252" t="s">
        <v>528</v>
      </c>
      <c r="F61" s="253"/>
      <c r="G61" s="253" t="s">
        <v>468</v>
      </c>
      <c r="H61" s="254">
        <f t="shared" ref="H61:S61" si="12">IF($D$60="VLSFO only and always pay RU",H17,H58)</f>
        <v>69.392507244119059</v>
      </c>
      <c r="I61" s="254">
        <f t="shared" si="12"/>
        <v>89.367382769901894</v>
      </c>
      <c r="J61" s="254">
        <f t="shared" si="12"/>
        <v>131.50127714285713</v>
      </c>
      <c r="K61" s="254">
        <f t="shared" si="12"/>
        <v>176.07904139585614</v>
      </c>
      <c r="L61" s="254">
        <f t="shared" si="12"/>
        <v>224.33395731733927</v>
      </c>
      <c r="M61" s="254">
        <f t="shared" si="12"/>
        <v>274.03001509269359</v>
      </c>
      <c r="N61" s="254">
        <f t="shared" si="12"/>
        <v>326.16994274809173</v>
      </c>
      <c r="O61" s="254">
        <f t="shared" si="12"/>
        <v>407.70128320610701</v>
      </c>
      <c r="P61" s="254">
        <f t="shared" si="12"/>
        <v>493.12059847328226</v>
      </c>
      <c r="Q61" s="254">
        <f t="shared" si="12"/>
        <v>585.22264809160299</v>
      </c>
      <c r="R61" s="254">
        <f t="shared" si="12"/>
        <v>678.78470305343512</v>
      </c>
      <c r="S61" s="254">
        <f t="shared" si="12"/>
        <v>776.23473282442751</v>
      </c>
    </row>
    <row r="62" spans="2:22" ht="15" customHeight="1" x14ac:dyDescent="0.2">
      <c r="B62" s="181"/>
      <c r="C62" s="250" t="s">
        <v>529</v>
      </c>
      <c r="D62" s="252"/>
      <c r="E62" s="252" t="s">
        <v>528</v>
      </c>
      <c r="F62" s="253"/>
      <c r="G62" s="253" t="s">
        <v>468</v>
      </c>
      <c r="H62" s="254">
        <f t="shared" ref="H62:S62" si="13">IF($D$60="VLSFO only and always pay RU",IF($D$8="Yes",H$15*H$48,H$18),H59)</f>
        <v>49.971479999999964</v>
      </c>
      <c r="I62" s="254">
        <f t="shared" si="13"/>
        <v>49.971479999999964</v>
      </c>
      <c r="J62" s="254">
        <f t="shared" si="13"/>
        <v>49.971480000000021</v>
      </c>
      <c r="K62" s="254">
        <f t="shared" si="13"/>
        <v>49.971479999999964</v>
      </c>
      <c r="L62" s="254">
        <f t="shared" si="13"/>
        <v>49.971480000000021</v>
      </c>
      <c r="M62" s="254">
        <f t="shared" si="13"/>
        <v>49.971480000000021</v>
      </c>
      <c r="N62" s="254">
        <f t="shared" si="13"/>
        <v>49.971479999999936</v>
      </c>
      <c r="O62" s="254">
        <f t="shared" si="13"/>
        <v>49.971479999999993</v>
      </c>
      <c r="P62" s="254">
        <f t="shared" si="13"/>
        <v>49.971479999999993</v>
      </c>
      <c r="Q62" s="254">
        <f t="shared" si="13"/>
        <v>49.971479999999993</v>
      </c>
      <c r="R62" s="254">
        <f t="shared" si="13"/>
        <v>49.971479999999993</v>
      </c>
      <c r="S62" s="254">
        <f t="shared" si="13"/>
        <v>49.971479999999993</v>
      </c>
    </row>
    <row r="63" spans="2:22" ht="15" customHeight="1" thickBot="1" x14ac:dyDescent="0.25">
      <c r="B63" s="189"/>
      <c r="C63" s="255" t="s">
        <v>153</v>
      </c>
      <c r="D63" s="256"/>
      <c r="E63" s="256"/>
      <c r="F63" s="257" t="s">
        <v>530</v>
      </c>
      <c r="G63" s="257" t="s">
        <v>468</v>
      </c>
      <c r="H63" s="258">
        <f t="shared" ref="H63:S63" si="14">SUM(H60:H62)</f>
        <v>721.47255867269041</v>
      </c>
      <c r="I63" s="258">
        <f t="shared" si="14"/>
        <v>732.61886276990185</v>
      </c>
      <c r="J63" s="258">
        <f t="shared" si="14"/>
        <v>769.39675714285715</v>
      </c>
      <c r="K63" s="258">
        <f t="shared" si="14"/>
        <v>808.61852139585619</v>
      </c>
      <c r="L63" s="258">
        <f t="shared" si="14"/>
        <v>851.51743731733927</v>
      </c>
      <c r="M63" s="258">
        <f t="shared" si="14"/>
        <v>895.85749509269363</v>
      </c>
      <c r="N63" s="258">
        <f t="shared" si="14"/>
        <v>942.6414227480916</v>
      </c>
      <c r="O63" s="258">
        <f t="shared" si="14"/>
        <v>1018.8167632061071</v>
      </c>
      <c r="P63" s="258">
        <f t="shared" si="14"/>
        <v>1098.8800784732823</v>
      </c>
      <c r="Q63" s="258">
        <f t="shared" si="14"/>
        <v>1185.6261280916031</v>
      </c>
      <c r="R63" s="258">
        <f t="shared" si="14"/>
        <v>1273.8321830534351</v>
      </c>
      <c r="S63" s="258">
        <f t="shared" si="14"/>
        <v>1365.9262128244275</v>
      </c>
    </row>
    <row r="64" spans="2:22" ht="14.25" customHeight="1" thickTop="1" x14ac:dyDescent="0.2">
      <c r="C64" s="197"/>
      <c r="E64" s="259"/>
      <c r="H64" s="260"/>
      <c r="I64" s="260"/>
    </row>
    <row r="65" spans="2:19" ht="14.25" customHeight="1" x14ac:dyDescent="0.2">
      <c r="C65" s="163" t="s">
        <v>531</v>
      </c>
      <c r="D65" s="165"/>
      <c r="E65" s="165"/>
      <c r="F65" s="166"/>
      <c r="G65" s="166"/>
      <c r="H65" s="167"/>
      <c r="I65" s="167"/>
      <c r="J65" s="167"/>
      <c r="K65" s="167"/>
      <c r="L65" s="167"/>
      <c r="M65" s="167"/>
      <c r="N65" s="167"/>
      <c r="O65" s="167"/>
      <c r="P65" s="167"/>
      <c r="Q65" s="167"/>
      <c r="R65" s="167"/>
      <c r="S65" s="167"/>
    </row>
    <row r="66" spans="2:19" ht="14.25" customHeight="1" x14ac:dyDescent="0.2">
      <c r="C66" s="202" t="s">
        <v>436</v>
      </c>
      <c r="D66" s="204" t="s">
        <v>437</v>
      </c>
      <c r="E66" s="204" t="s">
        <v>422</v>
      </c>
      <c r="F66" s="204" t="s">
        <v>423</v>
      </c>
      <c r="G66" s="205" t="s">
        <v>159</v>
      </c>
      <c r="H66" s="206">
        <v>2029</v>
      </c>
      <c r="I66" s="206">
        <v>2030</v>
      </c>
      <c r="J66" s="206">
        <v>2031</v>
      </c>
      <c r="K66" s="206">
        <v>2032</v>
      </c>
      <c r="L66" s="206">
        <v>2033</v>
      </c>
      <c r="M66" s="206">
        <v>2034</v>
      </c>
      <c r="N66" s="206">
        <v>2035</v>
      </c>
      <c r="O66" s="207">
        <v>2036</v>
      </c>
      <c r="P66" s="207">
        <v>2037</v>
      </c>
      <c r="Q66" s="206">
        <v>2038</v>
      </c>
      <c r="R66" s="206">
        <v>2039</v>
      </c>
      <c r="S66" s="206">
        <v>2040</v>
      </c>
    </row>
    <row r="67" spans="2:19" ht="14.25" customHeight="1" x14ac:dyDescent="0.2">
      <c r="B67" s="174"/>
      <c r="C67" s="175" t="s">
        <v>532</v>
      </c>
      <c r="D67" s="177"/>
      <c r="E67" s="177" t="s">
        <v>533</v>
      </c>
      <c r="F67" s="179" t="s">
        <v>506</v>
      </c>
      <c r="G67" s="179" t="s">
        <v>200</v>
      </c>
      <c r="H67" s="211">
        <f t="shared" ref="H67:S67" si="15">H$34-H$24</f>
        <v>15.099999999999998</v>
      </c>
      <c r="I67" s="211">
        <f t="shared" si="15"/>
        <v>16.2</v>
      </c>
      <c r="J67" s="211">
        <f t="shared" si="15"/>
        <v>16.61</v>
      </c>
      <c r="K67" s="211">
        <f t="shared" si="15"/>
        <v>16.919999999999998</v>
      </c>
      <c r="L67" s="211">
        <f t="shared" si="15"/>
        <v>17.330000000000002</v>
      </c>
      <c r="M67" s="211">
        <f t="shared" si="15"/>
        <v>17.740000000000002</v>
      </c>
      <c r="N67" s="211">
        <f t="shared" si="15"/>
        <v>18.149999999999999</v>
      </c>
      <c r="O67" s="211">
        <f t="shared" si="15"/>
        <v>18.46</v>
      </c>
      <c r="P67" s="211">
        <f t="shared" si="15"/>
        <v>18.87</v>
      </c>
      <c r="Q67" s="211">
        <f t="shared" si="15"/>
        <v>19.28</v>
      </c>
      <c r="R67" s="211">
        <f t="shared" si="15"/>
        <v>19.590000000000003</v>
      </c>
      <c r="S67" s="211">
        <f t="shared" si="15"/>
        <v>20</v>
      </c>
    </row>
    <row r="68" spans="2:19" ht="14.25" customHeight="1" x14ac:dyDescent="0.2">
      <c r="B68" s="181"/>
      <c r="C68" s="182" t="s">
        <v>534</v>
      </c>
      <c r="D68" s="184"/>
      <c r="E68" s="184"/>
      <c r="F68" s="186" t="s">
        <v>508</v>
      </c>
      <c r="G68" s="186" t="s">
        <v>509</v>
      </c>
      <c r="H68" s="214">
        <f t="shared" ref="H68:S68" si="16">H$20-H$32</f>
        <v>6.3270240000000005E-2</v>
      </c>
      <c r="I68" s="214">
        <f t="shared" si="16"/>
        <v>6.3270240000000005E-2</v>
      </c>
      <c r="J68" s="214">
        <f t="shared" si="16"/>
        <v>6.3270240000000005E-2</v>
      </c>
      <c r="K68" s="214">
        <f t="shared" si="16"/>
        <v>6.3270240000000005E-2</v>
      </c>
      <c r="L68" s="214">
        <f t="shared" si="16"/>
        <v>6.3270240000000005E-2</v>
      </c>
      <c r="M68" s="214">
        <f t="shared" si="16"/>
        <v>6.3270240000000005E-2</v>
      </c>
      <c r="N68" s="214">
        <f t="shared" si="16"/>
        <v>6.3270240000000005E-2</v>
      </c>
      <c r="O68" s="214">
        <f t="shared" si="16"/>
        <v>6.3270240000000005E-2</v>
      </c>
      <c r="P68" s="214">
        <f t="shared" si="16"/>
        <v>6.3270240000000005E-2</v>
      </c>
      <c r="Q68" s="214">
        <f t="shared" si="16"/>
        <v>6.3270240000000005E-2</v>
      </c>
      <c r="R68" s="214">
        <f t="shared" si="16"/>
        <v>6.3270240000000005E-2</v>
      </c>
      <c r="S68" s="214">
        <f t="shared" si="16"/>
        <v>6.3270240000000005E-2</v>
      </c>
    </row>
    <row r="69" spans="2:19" ht="14.25" customHeight="1" x14ac:dyDescent="0.2">
      <c r="B69" s="249" t="s">
        <v>510</v>
      </c>
      <c r="C69" s="182" t="s">
        <v>535</v>
      </c>
      <c r="D69" s="184"/>
      <c r="E69" s="184" t="s">
        <v>512</v>
      </c>
      <c r="F69" s="186" t="s">
        <v>513</v>
      </c>
      <c r="G69" s="186" t="s">
        <v>492</v>
      </c>
      <c r="H69" s="214">
        <f t="shared" ref="H69:S69" si="17">H67/H68</f>
        <v>238.65880704735744</v>
      </c>
      <c r="I69" s="214">
        <f t="shared" si="17"/>
        <v>256.0445479580921</v>
      </c>
      <c r="J69" s="214">
        <f t="shared" si="17"/>
        <v>262.5246877520932</v>
      </c>
      <c r="K69" s="214">
        <f t="shared" si="17"/>
        <v>267.42430564511841</v>
      </c>
      <c r="L69" s="214">
        <f t="shared" si="17"/>
        <v>273.90444543911957</v>
      </c>
      <c r="M69" s="214">
        <f t="shared" si="17"/>
        <v>280.38458523312067</v>
      </c>
      <c r="N69" s="214">
        <f t="shared" si="17"/>
        <v>286.86472502712172</v>
      </c>
      <c r="O69" s="214">
        <f t="shared" si="17"/>
        <v>291.76434292014699</v>
      </c>
      <c r="P69" s="214">
        <f t="shared" si="17"/>
        <v>298.24448271414809</v>
      </c>
      <c r="Q69" s="214">
        <f t="shared" si="17"/>
        <v>304.72462250814914</v>
      </c>
      <c r="R69" s="214">
        <f t="shared" si="17"/>
        <v>309.6242404011744</v>
      </c>
      <c r="S69" s="214">
        <f t="shared" si="17"/>
        <v>316.10438019517545</v>
      </c>
    </row>
    <row r="70" spans="2:19" ht="14.25" customHeight="1" x14ac:dyDescent="0.2">
      <c r="B70" s="181"/>
      <c r="C70" s="182" t="s">
        <v>514</v>
      </c>
      <c r="D70" s="184"/>
      <c r="E70" s="184" t="s">
        <v>515</v>
      </c>
      <c r="F70" s="186" t="s">
        <v>516</v>
      </c>
      <c r="G70" s="186" t="s">
        <v>498</v>
      </c>
      <c r="H70" s="214">
        <f>MIN(H69,Assumptions!E$14)</f>
        <v>238.65880704735744</v>
      </c>
      <c r="I70" s="214">
        <f>MIN(I69,Assumptions!F$14)</f>
        <v>256.0445479580921</v>
      </c>
      <c r="J70" s="214">
        <f>MIN(J69,Assumptions!G$14)</f>
        <v>262.5246877520932</v>
      </c>
      <c r="K70" s="214">
        <f>MIN(K69,Assumptions!H$14)</f>
        <v>267.42430564511841</v>
      </c>
      <c r="L70" s="214">
        <f>MIN(L69,Assumptions!I$14)</f>
        <v>273.90444543911957</v>
      </c>
      <c r="M70" s="214">
        <f>MIN(M69,Assumptions!J$14)</f>
        <v>280.38458523312067</v>
      </c>
      <c r="N70" s="214">
        <f>MIN(N69,Assumptions!K$14)</f>
        <v>286.86472502712172</v>
      </c>
      <c r="O70" s="214">
        <f>MIN(O69,Assumptions!L$14)</f>
        <v>291.76434292014699</v>
      </c>
      <c r="P70" s="214">
        <f>MIN(P69,Assumptions!M$14)</f>
        <v>298.24448271414809</v>
      </c>
      <c r="Q70" s="214">
        <f>MIN(Q69,Assumptions!N$14)</f>
        <v>304.72462250814914</v>
      </c>
      <c r="R70" s="214">
        <f>MIN(R69,Assumptions!O$14)</f>
        <v>309.6242404011744</v>
      </c>
      <c r="S70" s="214">
        <f>MIN(S69,Assumptions!P$14)</f>
        <v>316.10438019517545</v>
      </c>
    </row>
    <row r="71" spans="2:19" ht="14.25" customHeight="1" x14ac:dyDescent="0.2">
      <c r="B71" s="181"/>
      <c r="C71" s="182" t="s">
        <v>517</v>
      </c>
      <c r="D71" s="184"/>
      <c r="E71" s="184" t="s">
        <v>518</v>
      </c>
      <c r="F71" s="186" t="s">
        <v>516</v>
      </c>
      <c r="G71" s="186"/>
      <c r="H71" s="214" t="str">
        <f>IF(H70=Assumptions!E$14,Assumptions!$B$14,$C69)</f>
        <v>Bio-methane blend abatement cost</v>
      </c>
      <c r="I71" s="214" t="str">
        <f>IF(I70=Assumptions!F$14,Assumptions!$B$14,$C69)</f>
        <v>Bio-methane blend abatement cost</v>
      </c>
      <c r="J71" s="214" t="str">
        <f>IF(J70=Assumptions!G$14,Assumptions!$B$14,$C69)</f>
        <v>Bio-methane blend abatement cost</v>
      </c>
      <c r="K71" s="214" t="str">
        <f>IF(K70=Assumptions!H$14,Assumptions!$B$14,$C69)</f>
        <v>Bio-methane blend abatement cost</v>
      </c>
      <c r="L71" s="214" t="str">
        <f>IF(L70=Assumptions!I$14,Assumptions!$B$14,$C69)</f>
        <v>Bio-methane blend abatement cost</v>
      </c>
      <c r="M71" s="214" t="str">
        <f>IF(M70=Assumptions!J$14,Assumptions!$B$14,$C69)</f>
        <v>Bio-methane blend abatement cost</v>
      </c>
      <c r="N71" s="214" t="str">
        <f>IF(N70=Assumptions!K$14,Assumptions!$B$14,$C69)</f>
        <v>Bio-methane blend abatement cost</v>
      </c>
      <c r="O71" s="214" t="str">
        <f>IF(O70=Assumptions!L$14,Assumptions!$B$14,$C69)</f>
        <v>Bio-methane blend abatement cost</v>
      </c>
      <c r="P71" s="214" t="str">
        <f>IF(P70=Assumptions!M$14,Assumptions!$B$14,$C69)</f>
        <v>Bio-methane blend abatement cost</v>
      </c>
      <c r="Q71" s="214" t="str">
        <f>IF(Q70=Assumptions!N$14,Assumptions!$B$14,$C69)</f>
        <v>Bio-methane blend abatement cost</v>
      </c>
      <c r="R71" s="214" t="str">
        <f>IF(R70=Assumptions!O$14,Assumptions!$B$14,$C69)</f>
        <v>Bio-methane blend abatement cost</v>
      </c>
      <c r="S71" s="214" t="str">
        <f>IF(S70=Assumptions!P$14,Assumptions!$B$14,$C69)</f>
        <v>Bio-methane blend abatement cost</v>
      </c>
    </row>
    <row r="72" spans="2:19" ht="14.25" customHeight="1" x14ac:dyDescent="0.2">
      <c r="B72" s="181"/>
      <c r="C72" s="182" t="s">
        <v>519</v>
      </c>
      <c r="D72" s="184"/>
      <c r="E72" s="184" t="s">
        <v>520</v>
      </c>
      <c r="F72" s="186" t="s">
        <v>521</v>
      </c>
      <c r="G72" s="186" t="s">
        <v>468</v>
      </c>
      <c r="H72" s="214">
        <f>IF(H71=Assumptions!$B$14,H$25,H$69*H$21)</f>
        <v>0</v>
      </c>
      <c r="I72" s="214">
        <f>IF(I71=Assumptions!$B$14,I$25,I$69*I$21)</f>
        <v>0</v>
      </c>
      <c r="J72" s="214">
        <f>IF(J71=Assumptions!$B$14,J$25,J$69*J$21)</f>
        <v>23.353944198725952</v>
      </c>
      <c r="K72" s="214">
        <f>IF(K71=Assumptions!$B$14,K$25,K$69*K$21)</f>
        <v>69.020416195671231</v>
      </c>
      <c r="L72" s="214">
        <f>IF(L71=Assumptions!$B$14,L$25,L$69*L$21)</f>
        <v>117.01951694193043</v>
      </c>
      <c r="M72" s="214">
        <f>IF(M71=Assumptions!$B$14,M$25,M$69*M$21)</f>
        <v>167.21064472649388</v>
      </c>
      <c r="N72" s="214">
        <f>IF(N71=Assumptions!$B$14,N$25,N$69*N$21)</f>
        <v>219.59379954936171</v>
      </c>
      <c r="O72" s="214">
        <f>IF(O71=Assumptions!$B$14,O$25,O$69*O$21)</f>
        <v>301.85156990079383</v>
      </c>
      <c r="P72" s="214">
        <f>IF(P71=Assumptions!$B$14,P$25,P$69*P$21)</f>
        <v>388.80653918809219</v>
      </c>
      <c r="Q72" s="214">
        <f>IF(Q71=Assumptions!$B$14,Q$25,Q$69*Q$21)</f>
        <v>479.24882421814743</v>
      </c>
      <c r="R72" s="214">
        <f>IF(R71=Assumptions!$B$14,R$25,R$69*R$21)</f>
        <v>570.2674121672369</v>
      </c>
      <c r="S72" s="214">
        <f>IF(S71=Assumptions!$B$14,S$25,S$69*S$21)</f>
        <v>667.2590462751524</v>
      </c>
    </row>
    <row r="73" spans="2:19" ht="14.25" customHeight="1" x14ac:dyDescent="0.2">
      <c r="B73" s="249" t="s">
        <v>522</v>
      </c>
      <c r="C73" s="182" t="s">
        <v>523</v>
      </c>
      <c r="D73" s="184"/>
      <c r="E73" s="184" t="s">
        <v>520</v>
      </c>
      <c r="F73" s="186" t="s">
        <v>516</v>
      </c>
      <c r="G73" s="186" t="s">
        <v>468</v>
      </c>
      <c r="H73" s="214">
        <f t="shared" ref="H73:S73" si="18">IF($D$8="Yes",H$22*H$48,H$26)</f>
        <v>34.266039999999968</v>
      </c>
      <c r="I73" s="214">
        <f t="shared" si="18"/>
        <v>41.953959999999967</v>
      </c>
      <c r="J73" s="214">
        <f t="shared" si="18"/>
        <v>49.971480000000021</v>
      </c>
      <c r="K73" s="214">
        <f t="shared" si="18"/>
        <v>49.971479999999964</v>
      </c>
      <c r="L73" s="214">
        <f t="shared" si="18"/>
        <v>49.971480000000021</v>
      </c>
      <c r="M73" s="214">
        <f t="shared" si="18"/>
        <v>49.971480000000021</v>
      </c>
      <c r="N73" s="214">
        <f t="shared" si="18"/>
        <v>49.971479999999936</v>
      </c>
      <c r="O73" s="214">
        <f t="shared" si="18"/>
        <v>49.971479999999993</v>
      </c>
      <c r="P73" s="214">
        <f t="shared" si="18"/>
        <v>49.971479999999993</v>
      </c>
      <c r="Q73" s="214">
        <f t="shared" si="18"/>
        <v>49.971479999999993</v>
      </c>
      <c r="R73" s="214">
        <f t="shared" si="18"/>
        <v>49.971479999999993</v>
      </c>
      <c r="S73" s="214">
        <f t="shared" si="18"/>
        <v>49.971479999999993</v>
      </c>
    </row>
    <row r="74" spans="2:19" ht="14.25" customHeight="1" x14ac:dyDescent="0.2">
      <c r="B74" s="249" t="s">
        <v>536</v>
      </c>
      <c r="C74" s="182" t="s">
        <v>537</v>
      </c>
      <c r="D74" s="184"/>
      <c r="E74" s="184" t="s">
        <v>538</v>
      </c>
      <c r="F74" s="186" t="s">
        <v>539</v>
      </c>
      <c r="G74" s="186" t="s">
        <v>465</v>
      </c>
      <c r="H74" s="214">
        <f t="shared" ref="H74:S74" si="19">H23</f>
        <v>0</v>
      </c>
      <c r="I74" s="214">
        <f t="shared" si="19"/>
        <v>0</v>
      </c>
      <c r="J74" s="214">
        <f t="shared" si="19"/>
        <v>0</v>
      </c>
      <c r="K74" s="214">
        <f t="shared" si="19"/>
        <v>0</v>
      </c>
      <c r="L74" s="214">
        <f t="shared" si="19"/>
        <v>0</v>
      </c>
      <c r="M74" s="214">
        <f t="shared" si="19"/>
        <v>0</v>
      </c>
      <c r="N74" s="214">
        <f t="shared" si="19"/>
        <v>0</v>
      </c>
      <c r="O74" s="214">
        <f t="shared" si="19"/>
        <v>0</v>
      </c>
      <c r="P74" s="214">
        <f t="shared" si="19"/>
        <v>0</v>
      </c>
      <c r="Q74" s="214">
        <f t="shared" si="19"/>
        <v>0</v>
      </c>
      <c r="R74" s="214">
        <f t="shared" si="19"/>
        <v>0</v>
      </c>
      <c r="S74" s="214">
        <f t="shared" si="19"/>
        <v>0</v>
      </c>
    </row>
    <row r="75" spans="2:19" ht="14.25" customHeight="1" x14ac:dyDescent="0.2">
      <c r="B75" s="181"/>
      <c r="C75" s="182" t="s">
        <v>540</v>
      </c>
      <c r="D75" s="184"/>
      <c r="E75" s="184" t="s">
        <v>541</v>
      </c>
      <c r="F75" s="186" t="s">
        <v>542</v>
      </c>
      <c r="G75" s="186" t="s">
        <v>543</v>
      </c>
      <c r="H75" s="214">
        <f t="shared" ref="H75:S75" si="20">H74*H48</f>
        <v>0</v>
      </c>
      <c r="I75" s="214">
        <f t="shared" si="20"/>
        <v>0</v>
      </c>
      <c r="J75" s="214">
        <f t="shared" si="20"/>
        <v>0</v>
      </c>
      <c r="K75" s="214">
        <f t="shared" si="20"/>
        <v>0</v>
      </c>
      <c r="L75" s="214">
        <f t="shared" si="20"/>
        <v>0</v>
      </c>
      <c r="M75" s="214">
        <f t="shared" si="20"/>
        <v>0</v>
      </c>
      <c r="N75" s="214">
        <f t="shared" si="20"/>
        <v>0</v>
      </c>
      <c r="O75" s="214">
        <f t="shared" si="20"/>
        <v>0</v>
      </c>
      <c r="P75" s="214">
        <f t="shared" si="20"/>
        <v>0</v>
      </c>
      <c r="Q75" s="214">
        <f t="shared" si="20"/>
        <v>0</v>
      </c>
      <c r="R75" s="214">
        <f t="shared" si="20"/>
        <v>0</v>
      </c>
      <c r="S75" s="214">
        <f t="shared" si="20"/>
        <v>0</v>
      </c>
    </row>
    <row r="76" spans="2:19" ht="14.25" customHeight="1" x14ac:dyDescent="0.2">
      <c r="B76" s="212" t="s">
        <v>524</v>
      </c>
      <c r="C76" s="250" t="s">
        <v>544</v>
      </c>
      <c r="D76" s="261" t="str">
        <f>Input!$C$24</f>
        <v>Blend in bio-methane when cheaper than RUs</v>
      </c>
      <c r="E76" s="252" t="s">
        <v>545</v>
      </c>
      <c r="F76" s="253"/>
      <c r="G76" s="253" t="s">
        <v>468</v>
      </c>
      <c r="H76" s="254">
        <f>H24*Assumptions!$E$6*1000</f>
        <v>457.32000000000005</v>
      </c>
      <c r="I76" s="254">
        <f>I24*Assumptions!$E$6*1000</f>
        <v>424.36</v>
      </c>
      <c r="J76" s="254">
        <f>J24*Assumptions!$E$6*1000</f>
        <v>423.94800000000004</v>
      </c>
      <c r="K76" s="254">
        <f>K24*Assumptions!$E$6*1000</f>
        <v>423.53600000000006</v>
      </c>
      <c r="L76" s="254">
        <f>L24*Assumptions!$E$6*1000</f>
        <v>423.12400000000002</v>
      </c>
      <c r="M76" s="254">
        <f>M24*Assumptions!$E$6*1000</f>
        <v>422.71199999999999</v>
      </c>
      <c r="N76" s="254">
        <f>N24*Assumptions!$E$6*1000</f>
        <v>422.3</v>
      </c>
      <c r="O76" s="254">
        <f>O24*Assumptions!$E$6*1000</f>
        <v>421.88800000000003</v>
      </c>
      <c r="P76" s="254">
        <f>P24*Assumptions!$E$6*1000</f>
        <v>421.476</v>
      </c>
      <c r="Q76" s="254">
        <f>Q24*Assumptions!$E$6*1000</f>
        <v>421.06399999999996</v>
      </c>
      <c r="R76" s="254">
        <f>R24*Assumptions!$E$6*1000</f>
        <v>420.65199999999999</v>
      </c>
      <c r="S76" s="254">
        <f>S24*Assumptions!$E$6*1000</f>
        <v>420.24</v>
      </c>
    </row>
    <row r="77" spans="2:19" ht="14.25" customHeight="1" x14ac:dyDescent="0.2">
      <c r="B77" s="181"/>
      <c r="C77" s="250" t="s">
        <v>546</v>
      </c>
      <c r="D77" s="252"/>
      <c r="E77" s="252" t="s">
        <v>547</v>
      </c>
      <c r="F77" s="253"/>
      <c r="G77" s="253" t="s">
        <v>468</v>
      </c>
      <c r="H77" s="254">
        <f t="shared" ref="H77:S77" si="21">IF($D76="LNG only and always pay RU",H25,H72)</f>
        <v>0</v>
      </c>
      <c r="I77" s="254">
        <f t="shared" si="21"/>
        <v>0</v>
      </c>
      <c r="J77" s="254">
        <f t="shared" si="21"/>
        <v>23.353944198725952</v>
      </c>
      <c r="K77" s="254">
        <f t="shared" si="21"/>
        <v>69.020416195671231</v>
      </c>
      <c r="L77" s="254">
        <f t="shared" si="21"/>
        <v>117.01951694193043</v>
      </c>
      <c r="M77" s="254">
        <f t="shared" si="21"/>
        <v>167.21064472649388</v>
      </c>
      <c r="N77" s="254">
        <f t="shared" si="21"/>
        <v>219.59379954936171</v>
      </c>
      <c r="O77" s="254">
        <f t="shared" si="21"/>
        <v>301.85156990079383</v>
      </c>
      <c r="P77" s="254">
        <f t="shared" si="21"/>
        <v>388.80653918809219</v>
      </c>
      <c r="Q77" s="254">
        <f t="shared" si="21"/>
        <v>479.24882421814743</v>
      </c>
      <c r="R77" s="254">
        <f t="shared" si="21"/>
        <v>570.2674121672369</v>
      </c>
      <c r="S77" s="254">
        <f t="shared" si="21"/>
        <v>667.2590462751524</v>
      </c>
    </row>
    <row r="78" spans="2:19" ht="14.25" customHeight="1" x14ac:dyDescent="0.2">
      <c r="B78" s="181"/>
      <c r="C78" s="250" t="s">
        <v>529</v>
      </c>
      <c r="D78" s="252"/>
      <c r="E78" s="252" t="s">
        <v>547</v>
      </c>
      <c r="F78" s="253"/>
      <c r="G78" s="253" t="s">
        <v>468</v>
      </c>
      <c r="H78" s="254">
        <f t="shared" ref="H78:S78" si="22">IF($D$76="LNG only and always pay RU",IF($D$8="Yes",H$22*H$48,H$26),H73)</f>
        <v>34.266039999999968</v>
      </c>
      <c r="I78" s="254">
        <f t="shared" si="22"/>
        <v>41.953959999999967</v>
      </c>
      <c r="J78" s="254">
        <f t="shared" si="22"/>
        <v>49.971480000000021</v>
      </c>
      <c r="K78" s="254">
        <f t="shared" si="22"/>
        <v>49.971479999999964</v>
      </c>
      <c r="L78" s="254">
        <f t="shared" si="22"/>
        <v>49.971480000000021</v>
      </c>
      <c r="M78" s="254">
        <f t="shared" si="22"/>
        <v>49.971480000000021</v>
      </c>
      <c r="N78" s="254">
        <f t="shared" si="22"/>
        <v>49.971479999999936</v>
      </c>
      <c r="O78" s="254">
        <f t="shared" si="22"/>
        <v>49.971479999999993</v>
      </c>
      <c r="P78" s="254">
        <f t="shared" si="22"/>
        <v>49.971479999999993</v>
      </c>
      <c r="Q78" s="254">
        <f t="shared" si="22"/>
        <v>49.971479999999993</v>
      </c>
      <c r="R78" s="254">
        <f t="shared" si="22"/>
        <v>49.971479999999993</v>
      </c>
      <c r="S78" s="254">
        <f t="shared" si="22"/>
        <v>49.971479999999993</v>
      </c>
    </row>
    <row r="79" spans="2:19" ht="15" customHeight="1" x14ac:dyDescent="0.2">
      <c r="B79" s="181"/>
      <c r="C79" s="250" t="s">
        <v>548</v>
      </c>
      <c r="D79" s="252"/>
      <c r="E79" s="252"/>
      <c r="F79" s="253"/>
      <c r="G79" s="253" t="s">
        <v>468</v>
      </c>
      <c r="H79" s="254">
        <f t="shared" ref="H79:S79" si="23">H75</f>
        <v>0</v>
      </c>
      <c r="I79" s="254">
        <f t="shared" si="23"/>
        <v>0</v>
      </c>
      <c r="J79" s="254">
        <f t="shared" si="23"/>
        <v>0</v>
      </c>
      <c r="K79" s="254">
        <f t="shared" si="23"/>
        <v>0</v>
      </c>
      <c r="L79" s="254">
        <f t="shared" si="23"/>
        <v>0</v>
      </c>
      <c r="M79" s="254">
        <f t="shared" si="23"/>
        <v>0</v>
      </c>
      <c r="N79" s="254">
        <f t="shared" si="23"/>
        <v>0</v>
      </c>
      <c r="O79" s="254">
        <f t="shared" si="23"/>
        <v>0</v>
      </c>
      <c r="P79" s="254">
        <f t="shared" si="23"/>
        <v>0</v>
      </c>
      <c r="Q79" s="254">
        <f t="shared" si="23"/>
        <v>0</v>
      </c>
      <c r="R79" s="254">
        <f t="shared" si="23"/>
        <v>0</v>
      </c>
      <c r="S79" s="254">
        <f t="shared" si="23"/>
        <v>0</v>
      </c>
    </row>
    <row r="80" spans="2:19" ht="15" customHeight="1" thickBot="1" x14ac:dyDescent="0.25">
      <c r="B80" s="189"/>
      <c r="C80" s="255" t="s">
        <v>154</v>
      </c>
      <c r="D80" s="256"/>
      <c r="E80" s="256"/>
      <c r="F80" s="257" t="s">
        <v>549</v>
      </c>
      <c r="G80" s="257" t="s">
        <v>468</v>
      </c>
      <c r="H80" s="258">
        <f t="shared" ref="H80:S80" si="24">SUM(H76:H79)</f>
        <v>491.58604000000003</v>
      </c>
      <c r="I80" s="258">
        <f t="shared" si="24"/>
        <v>466.31395999999995</v>
      </c>
      <c r="J80" s="258">
        <f t="shared" si="24"/>
        <v>497.27342419872605</v>
      </c>
      <c r="K80" s="258">
        <f t="shared" si="24"/>
        <v>542.52789619567125</v>
      </c>
      <c r="L80" s="258">
        <f t="shared" si="24"/>
        <v>590.11499694193049</v>
      </c>
      <c r="M80" s="258">
        <f t="shared" si="24"/>
        <v>639.89412472649394</v>
      </c>
      <c r="N80" s="258">
        <f t="shared" si="24"/>
        <v>691.86527954936162</v>
      </c>
      <c r="O80" s="258">
        <f t="shared" si="24"/>
        <v>773.71104990079391</v>
      </c>
      <c r="P80" s="258">
        <f t="shared" si="24"/>
        <v>860.25401918809223</v>
      </c>
      <c r="Q80" s="258">
        <f t="shared" si="24"/>
        <v>950.28430421814744</v>
      </c>
      <c r="R80" s="258">
        <f t="shared" si="24"/>
        <v>1040.8908921672369</v>
      </c>
      <c r="S80" s="258">
        <f t="shared" si="24"/>
        <v>1137.4705262751525</v>
      </c>
    </row>
    <row r="81" spans="2:19" ht="13.5" thickTop="1" x14ac:dyDescent="0.2"/>
    <row r="82" spans="2:19" ht="15" customHeight="1" x14ac:dyDescent="0.2">
      <c r="C82" s="163" t="s">
        <v>150</v>
      </c>
      <c r="D82" s="165"/>
      <c r="E82" s="165"/>
      <c r="F82" s="166"/>
      <c r="G82" s="166"/>
      <c r="H82" s="167"/>
      <c r="I82" s="167"/>
      <c r="J82" s="167"/>
      <c r="K82" s="167"/>
      <c r="L82" s="167"/>
      <c r="M82" s="167"/>
      <c r="N82" s="167"/>
      <c r="O82" s="167"/>
      <c r="P82" s="167"/>
      <c r="Q82" s="167"/>
      <c r="R82" s="167"/>
      <c r="S82" s="167"/>
    </row>
    <row r="83" spans="2:19" ht="15" customHeight="1" x14ac:dyDescent="0.2">
      <c r="C83" s="202" t="s">
        <v>436</v>
      </c>
      <c r="D83" s="204" t="s">
        <v>437</v>
      </c>
      <c r="E83" s="204" t="s">
        <v>422</v>
      </c>
      <c r="F83" s="204" t="s">
        <v>423</v>
      </c>
      <c r="G83" s="205" t="s">
        <v>159</v>
      </c>
      <c r="H83" s="206">
        <v>2029</v>
      </c>
      <c r="I83" s="206">
        <v>2030</v>
      </c>
      <c r="J83" s="206">
        <v>2031</v>
      </c>
      <c r="K83" s="206">
        <v>2032</v>
      </c>
      <c r="L83" s="206">
        <v>2033</v>
      </c>
      <c r="M83" s="206">
        <v>2034</v>
      </c>
      <c r="N83" s="206">
        <v>2035</v>
      </c>
      <c r="O83" s="207">
        <v>2036</v>
      </c>
      <c r="P83" s="207">
        <v>2037</v>
      </c>
      <c r="Q83" s="206">
        <v>2038</v>
      </c>
      <c r="R83" s="206">
        <v>2039</v>
      </c>
      <c r="S83" s="206">
        <v>2040</v>
      </c>
    </row>
    <row r="84" spans="2:19" ht="15" customHeight="1" x14ac:dyDescent="0.2">
      <c r="B84" s="174"/>
      <c r="C84" s="175" t="s">
        <v>550</v>
      </c>
      <c r="D84" s="177"/>
      <c r="E84" s="177" t="s">
        <v>551</v>
      </c>
      <c r="F84" s="179" t="s">
        <v>552</v>
      </c>
      <c r="G84" s="179" t="s">
        <v>200</v>
      </c>
      <c r="H84" s="211">
        <f t="shared" ref="H84:S84" si="25">H$40-H$16</f>
        <v>40.642857142857146</v>
      </c>
      <c r="I84" s="211">
        <f t="shared" si="25"/>
        <v>39.450000000000003</v>
      </c>
      <c r="J84" s="211">
        <f t="shared" si="25"/>
        <v>38.814999999999998</v>
      </c>
      <c r="K84" s="211">
        <f t="shared" si="25"/>
        <v>38.180000000000007</v>
      </c>
      <c r="L84" s="211">
        <f t="shared" si="25"/>
        <v>37.545000000000002</v>
      </c>
      <c r="M84" s="211">
        <f t="shared" si="25"/>
        <v>36.909999999999997</v>
      </c>
      <c r="N84" s="211">
        <f t="shared" si="25"/>
        <v>36.274999999999999</v>
      </c>
      <c r="O84" s="211">
        <f t="shared" si="25"/>
        <v>35.640000000000008</v>
      </c>
      <c r="P84" s="211">
        <f t="shared" si="25"/>
        <v>35.005000000000003</v>
      </c>
      <c r="Q84" s="211">
        <f t="shared" si="25"/>
        <v>34.369999999999997</v>
      </c>
      <c r="R84" s="211">
        <f t="shared" si="25"/>
        <v>33.734999999999999</v>
      </c>
      <c r="S84" s="211">
        <f t="shared" si="25"/>
        <v>33.1</v>
      </c>
    </row>
    <row r="85" spans="2:19" ht="15" customHeight="1" x14ac:dyDescent="0.2">
      <c r="B85" s="181"/>
      <c r="C85" s="182" t="s">
        <v>553</v>
      </c>
      <c r="D85" s="184"/>
      <c r="E85" s="184"/>
      <c r="F85" s="186"/>
      <c r="G85" s="186" t="s">
        <v>200</v>
      </c>
      <c r="H85" s="214">
        <f>H6*(Assumptions!$D$5-Calculation!H35)/1000</f>
        <v>7.43</v>
      </c>
      <c r="I85" s="214">
        <f>I6*(Assumptions!$D$5-Calculation!I35)/1000</f>
        <v>7.43</v>
      </c>
      <c r="J85" s="214">
        <f>J6*(Assumptions!$D$5-Calculation!J35)/1000</f>
        <v>7.43</v>
      </c>
      <c r="K85" s="214">
        <f>K6*(Assumptions!$D$5-Calculation!K35)/1000</f>
        <v>7.43</v>
      </c>
      <c r="L85" s="214">
        <f>L6*(Assumptions!$D$5-Calculation!L35)/1000</f>
        <v>7.43</v>
      </c>
      <c r="M85" s="214">
        <f>M6*(Assumptions!$D$5-Calculation!M35)/1000</f>
        <v>7.43</v>
      </c>
      <c r="N85" s="214">
        <f>N6*(Assumptions!$D$5-Calculation!N35)/1000</f>
        <v>7.93</v>
      </c>
      <c r="O85" s="214">
        <f>O6*(Assumptions!$D$5-Calculation!O35)/1000</f>
        <v>7.93</v>
      </c>
      <c r="P85" s="214">
        <f>P6*(Assumptions!$D$5-Calculation!P35)/1000</f>
        <v>7.93</v>
      </c>
      <c r="Q85" s="214">
        <f>Q6*(Assumptions!$D$5-Calculation!Q35)/1000</f>
        <v>7.93</v>
      </c>
      <c r="R85" s="214">
        <f>R6*(Assumptions!$D$5-Calculation!R35)/1000</f>
        <v>7.93</v>
      </c>
      <c r="S85" s="214">
        <f>S6*(Assumptions!$D$5-Calculation!S35)/1000</f>
        <v>7.93</v>
      </c>
    </row>
    <row r="86" spans="2:19" ht="15" customHeight="1" x14ac:dyDescent="0.2">
      <c r="B86" s="212"/>
      <c r="C86" s="182" t="s">
        <v>554</v>
      </c>
      <c r="D86" s="184"/>
      <c r="E86" s="184"/>
      <c r="F86" s="186" t="s">
        <v>555</v>
      </c>
      <c r="G86" s="186" t="s">
        <v>509</v>
      </c>
      <c r="H86" s="214">
        <f t="shared" ref="H86:S86" si="26">H$13-H$36</f>
        <v>7.6480000000000006E-2</v>
      </c>
      <c r="I86" s="214">
        <f t="shared" si="26"/>
        <v>7.6480000000000006E-2</v>
      </c>
      <c r="J86" s="214">
        <f t="shared" si="26"/>
        <v>7.6480000000000006E-2</v>
      </c>
      <c r="K86" s="214">
        <f t="shared" si="26"/>
        <v>7.6480000000000006E-2</v>
      </c>
      <c r="L86" s="214">
        <f t="shared" si="26"/>
        <v>7.6480000000000006E-2</v>
      </c>
      <c r="M86" s="214">
        <f t="shared" si="26"/>
        <v>7.6480000000000006E-2</v>
      </c>
      <c r="N86" s="214">
        <f t="shared" si="26"/>
        <v>8.1480000000000011E-2</v>
      </c>
      <c r="O86" s="214">
        <f t="shared" si="26"/>
        <v>8.1480000000000011E-2</v>
      </c>
      <c r="P86" s="214">
        <f t="shared" si="26"/>
        <v>8.1480000000000011E-2</v>
      </c>
      <c r="Q86" s="214">
        <f t="shared" si="26"/>
        <v>8.1480000000000011E-2</v>
      </c>
      <c r="R86" s="214">
        <f t="shared" si="26"/>
        <v>8.1480000000000011E-2</v>
      </c>
      <c r="S86" s="214">
        <f t="shared" si="26"/>
        <v>8.1480000000000011E-2</v>
      </c>
    </row>
    <row r="87" spans="2:19" ht="15" customHeight="1" x14ac:dyDescent="0.2">
      <c r="B87" s="249" t="s">
        <v>510</v>
      </c>
      <c r="C87" s="182" t="s">
        <v>556</v>
      </c>
      <c r="D87" s="184"/>
      <c r="E87" s="184" t="s">
        <v>512</v>
      </c>
      <c r="F87" s="186" t="s">
        <v>513</v>
      </c>
      <c r="G87" s="186" t="s">
        <v>492</v>
      </c>
      <c r="H87" s="214">
        <f t="shared" ref="H87:S87" si="27">(H84-H85)/H86</f>
        <v>434.26852958756723</v>
      </c>
      <c r="I87" s="214">
        <f t="shared" si="27"/>
        <v>418.67154811715483</v>
      </c>
      <c r="J87" s="214">
        <f t="shared" si="27"/>
        <v>410.36872384937232</v>
      </c>
      <c r="K87" s="214">
        <f t="shared" si="27"/>
        <v>402.06589958159003</v>
      </c>
      <c r="L87" s="214">
        <f t="shared" si="27"/>
        <v>393.76307531380752</v>
      </c>
      <c r="M87" s="214">
        <f t="shared" si="27"/>
        <v>385.46025104602501</v>
      </c>
      <c r="N87" s="214">
        <f t="shared" si="27"/>
        <v>347.87677957781045</v>
      </c>
      <c r="O87" s="214">
        <f t="shared" si="27"/>
        <v>340.08345606283757</v>
      </c>
      <c r="P87" s="214">
        <f t="shared" si="27"/>
        <v>332.29013254786452</v>
      </c>
      <c r="Q87" s="214">
        <f t="shared" si="27"/>
        <v>324.49680903289146</v>
      </c>
      <c r="R87" s="214">
        <f t="shared" si="27"/>
        <v>316.70348551791847</v>
      </c>
      <c r="S87" s="214">
        <f t="shared" si="27"/>
        <v>308.91016200294547</v>
      </c>
    </row>
    <row r="88" spans="2:19" ht="15" customHeight="1" x14ac:dyDescent="0.2">
      <c r="B88" s="181"/>
      <c r="C88" s="182" t="s">
        <v>514</v>
      </c>
      <c r="D88" s="184"/>
      <c r="E88" s="184" t="s">
        <v>515</v>
      </c>
      <c r="F88" s="186" t="s">
        <v>516</v>
      </c>
      <c r="G88" s="186" t="s">
        <v>498</v>
      </c>
      <c r="H88" s="214">
        <f>MIN(H87,Assumptions!E$14)</f>
        <v>380</v>
      </c>
      <c r="I88" s="214">
        <f>MIN(I87,Assumptions!F$14)</f>
        <v>380</v>
      </c>
      <c r="J88" s="214">
        <f>MIN(J87,Assumptions!G$14)</f>
        <v>380</v>
      </c>
      <c r="K88" s="214">
        <f>MIN(K87,Assumptions!H$14)</f>
        <v>380</v>
      </c>
      <c r="L88" s="214">
        <f>MIN(L87,Assumptions!I$14)</f>
        <v>380</v>
      </c>
      <c r="M88" s="214">
        <f>MIN(M87,Assumptions!J$14)</f>
        <v>380</v>
      </c>
      <c r="N88" s="214">
        <f>MIN(N87,Assumptions!K$14)</f>
        <v>347.87677957781045</v>
      </c>
      <c r="O88" s="214">
        <f>MIN(O87,Assumptions!L$14)</f>
        <v>340.08345606283757</v>
      </c>
      <c r="P88" s="214">
        <f>MIN(P87,Assumptions!M$14)</f>
        <v>332.29013254786452</v>
      </c>
      <c r="Q88" s="214">
        <f>MIN(Q87,Assumptions!N$14)</f>
        <v>324.49680903289146</v>
      </c>
      <c r="R88" s="214">
        <f>MIN(R87,Assumptions!O$14)</f>
        <v>316.70348551791847</v>
      </c>
      <c r="S88" s="214">
        <f>MIN(S87,Assumptions!P$14)</f>
        <v>308.91016200294547</v>
      </c>
    </row>
    <row r="89" spans="2:19" ht="15" customHeight="1" x14ac:dyDescent="0.2">
      <c r="B89" s="181"/>
      <c r="C89" s="182" t="s">
        <v>517</v>
      </c>
      <c r="D89" s="184"/>
      <c r="E89" s="184" t="s">
        <v>518</v>
      </c>
      <c r="F89" s="186" t="s">
        <v>516</v>
      </c>
      <c r="G89" s="186"/>
      <c r="H89" s="214" t="str">
        <f>IF(H88=Assumptions!E$14,Assumptions!$B$14,$C87)</f>
        <v>Tier 2 Remedial Unit Cost</v>
      </c>
      <c r="I89" s="214" t="str">
        <f>IF(I88=Assumptions!F$14,Assumptions!$B$14,$C87)</f>
        <v>Tier 2 Remedial Unit Cost</v>
      </c>
      <c r="J89" s="214" t="str">
        <f>IF(J88=Assumptions!G$14,Assumptions!$B$14,$C87)</f>
        <v>Tier 2 Remedial Unit Cost</v>
      </c>
      <c r="K89" s="214" t="str">
        <f>IF(K88=Assumptions!H$14,Assumptions!$B$14,$C87)</f>
        <v>Tier 2 Remedial Unit Cost</v>
      </c>
      <c r="L89" s="214" t="str">
        <f>IF(L88=Assumptions!I$14,Assumptions!$B$14,$C87)</f>
        <v>Tier 2 Remedial Unit Cost</v>
      </c>
      <c r="M89" s="214" t="str">
        <f>IF(M88=Assumptions!J$14,Assumptions!$B$14,$C87)</f>
        <v>Tier 2 Remedial Unit Cost</v>
      </c>
      <c r="N89" s="214" t="str">
        <f>IF(N88=Assumptions!K$14,Assumptions!$B$14,$C87)</f>
        <v>ZNZ blend abatement cost</v>
      </c>
      <c r="O89" s="214" t="str">
        <f>IF(O88=Assumptions!L$14,Assumptions!$B$14,$C87)</f>
        <v>ZNZ blend abatement cost</v>
      </c>
      <c r="P89" s="214" t="str">
        <f>IF(P88=Assumptions!M$14,Assumptions!$B$14,$C87)</f>
        <v>ZNZ blend abatement cost</v>
      </c>
      <c r="Q89" s="214" t="str">
        <f>IF(Q88=Assumptions!N$14,Assumptions!$B$14,$C87)</f>
        <v>ZNZ blend abatement cost</v>
      </c>
      <c r="R89" s="214" t="str">
        <f>IF(R88=Assumptions!O$14,Assumptions!$B$14,$C87)</f>
        <v>ZNZ blend abatement cost</v>
      </c>
      <c r="S89" s="214" t="str">
        <f>IF(S88=Assumptions!P$14,Assumptions!$B$14,$C87)</f>
        <v>ZNZ blend abatement cost</v>
      </c>
    </row>
    <row r="90" spans="2:19" ht="14.25" customHeight="1" x14ac:dyDescent="0.2">
      <c r="B90" s="212"/>
      <c r="C90" s="182" t="s">
        <v>519</v>
      </c>
      <c r="D90" s="184"/>
      <c r="E90" s="184" t="s">
        <v>520</v>
      </c>
      <c r="F90" s="186" t="s">
        <v>557</v>
      </c>
      <c r="G90" s="186" t="s">
        <v>468</v>
      </c>
      <c r="H90" s="214">
        <f>IF(H89=Assumptions!$B$14,H$17,(H$40-H$16)/H86*H14)</f>
        <v>121.77236800000009</v>
      </c>
      <c r="I90" s="214">
        <f>IF(I89=Assumptions!$B$14,I$17,(I$40-I$16)/I86*I14)</f>
        <v>150.98646400000007</v>
      </c>
      <c r="J90" s="214">
        <f>IF(J89=Assumptions!$B$14,J$17,(J$40-J$16)/J86*J14)</f>
        <v>215.25747520000002</v>
      </c>
      <c r="K90" s="214">
        <f>IF(K89=Assumptions!$B$14,K$17,(K$40-K$16)/K86*K14)</f>
        <v>279.52848640000019</v>
      </c>
      <c r="L90" s="214">
        <f>IF(L89=Assumptions!$B$14,L$17,(L$40-L$16)/L86*L14)</f>
        <v>343.79949760000011</v>
      </c>
      <c r="M90" s="214">
        <f>IF(M89=Assumptions!$B$14,M$17,(M$40-M$16)/M86*M14)</f>
        <v>408.07050880000008</v>
      </c>
      <c r="N90" s="214">
        <f>IF(N89=Assumptions!$B$14,N$17,(N$40-N$16)/N86*N14)</f>
        <v>553.38696735395217</v>
      </c>
      <c r="O90" s="214">
        <f>IF(O89=Assumptions!$B$14,O$17,(O$40-O$16)/O86*O14)</f>
        <v>661.39634226804139</v>
      </c>
      <c r="P90" s="214">
        <f>IF(P89=Assumptions!$B$14,P$17,(P$40-P$16)/P86*P14)</f>
        <v>765.2117058419243</v>
      </c>
      <c r="Q90" s="214">
        <f>IF(Q89=Assumptions!$B$14,Q$17,(Q$40-Q$16)/Q86*Q14)</f>
        <v>864.83305807560123</v>
      </c>
      <c r="R90" s="214">
        <f>IF(R89=Assumptions!$B$14,R$17,(R$40-R$16)/R86*R14)</f>
        <v>960.26039896907207</v>
      </c>
      <c r="S90" s="214">
        <f>IF(S89=Assumptions!$B$14,S$17,(S$40-S$16)/S86*S14)</f>
        <v>1051.4937285223368</v>
      </c>
    </row>
    <row r="91" spans="2:19" ht="14.25" customHeight="1" x14ac:dyDescent="0.2">
      <c r="B91" s="212"/>
      <c r="C91" s="182" t="s">
        <v>558</v>
      </c>
      <c r="D91" s="184"/>
      <c r="E91" s="186" t="s">
        <v>559</v>
      </c>
      <c r="F91" s="186" t="s">
        <v>560</v>
      </c>
      <c r="G91" s="186" t="s">
        <v>186</v>
      </c>
      <c r="H91" s="262">
        <f t="shared" ref="H91:S91" si="28">IF(H89=$C$87,MIN(((H12-H4)/1000)/H86,1),0)</f>
        <v>0</v>
      </c>
      <c r="I91" s="262">
        <f t="shared" si="28"/>
        <v>0</v>
      </c>
      <c r="J91" s="262">
        <f t="shared" si="28"/>
        <v>0</v>
      </c>
      <c r="K91" s="262">
        <f t="shared" si="28"/>
        <v>0</v>
      </c>
      <c r="L91" s="262">
        <f t="shared" si="28"/>
        <v>0</v>
      </c>
      <c r="M91" s="262">
        <f t="shared" si="28"/>
        <v>0</v>
      </c>
      <c r="N91" s="262">
        <f t="shared" si="28"/>
        <v>0.37027491408934721</v>
      </c>
      <c r="O91" s="262">
        <f t="shared" si="28"/>
        <v>0.45042955326460482</v>
      </c>
      <c r="P91" s="262">
        <f t="shared" si="28"/>
        <v>0.53058419243986243</v>
      </c>
      <c r="Q91" s="262">
        <f t="shared" si="28"/>
        <v>0.61073883161512033</v>
      </c>
      <c r="R91" s="262">
        <f t="shared" si="28"/>
        <v>0.69089347079037799</v>
      </c>
      <c r="S91" s="262">
        <f t="shared" si="28"/>
        <v>0.77104810996563566</v>
      </c>
    </row>
    <row r="92" spans="2:19" ht="14.25" customHeight="1" x14ac:dyDescent="0.2">
      <c r="B92" s="249" t="s">
        <v>522</v>
      </c>
      <c r="C92" s="182" t="s">
        <v>523</v>
      </c>
      <c r="D92" s="184"/>
      <c r="E92" s="184" t="s">
        <v>520</v>
      </c>
      <c r="F92" s="186" t="s">
        <v>516</v>
      </c>
      <c r="G92" s="186" t="s">
        <v>468</v>
      </c>
      <c r="H92" s="214">
        <f t="shared" ref="H92:S92" si="29">IF($D$8="Yes",H$15*H$48,H$18)</f>
        <v>49.971479999999964</v>
      </c>
      <c r="I92" s="214">
        <f t="shared" si="29"/>
        <v>49.971479999999964</v>
      </c>
      <c r="J92" s="214">
        <f t="shared" si="29"/>
        <v>49.971480000000021</v>
      </c>
      <c r="K92" s="214">
        <f t="shared" si="29"/>
        <v>49.971479999999964</v>
      </c>
      <c r="L92" s="214">
        <f t="shared" si="29"/>
        <v>49.971480000000021</v>
      </c>
      <c r="M92" s="214">
        <f t="shared" si="29"/>
        <v>49.971480000000021</v>
      </c>
      <c r="N92" s="214">
        <f t="shared" si="29"/>
        <v>49.971479999999936</v>
      </c>
      <c r="O92" s="214">
        <f t="shared" si="29"/>
        <v>49.971479999999993</v>
      </c>
      <c r="P92" s="214">
        <f t="shared" si="29"/>
        <v>49.971479999999993</v>
      </c>
      <c r="Q92" s="214">
        <f t="shared" si="29"/>
        <v>49.971479999999993</v>
      </c>
      <c r="R92" s="214">
        <f t="shared" si="29"/>
        <v>49.971479999999993</v>
      </c>
      <c r="S92" s="214">
        <f t="shared" si="29"/>
        <v>49.971479999999993</v>
      </c>
    </row>
    <row r="93" spans="2:19" ht="14.25" customHeight="1" x14ac:dyDescent="0.2">
      <c r="B93" s="212"/>
      <c r="C93" s="182" t="s">
        <v>561</v>
      </c>
      <c r="D93" s="184"/>
      <c r="E93" s="184"/>
      <c r="F93" s="186"/>
      <c r="G93" s="186"/>
      <c r="H93" s="214">
        <f>IF(H89=Assumptions!$B$14,H12,H4)</f>
        <v>95.48</v>
      </c>
      <c r="I93" s="214">
        <f>IF(I89=Assumptions!$B$14,I12,I4)</f>
        <v>95.48</v>
      </c>
      <c r="J93" s="214">
        <f>IF(J89=Assumptions!$B$14,J12,J4)</f>
        <v>95.48</v>
      </c>
      <c r="K93" s="214">
        <f>IF(K89=Assumptions!$B$14,K12,K4)</f>
        <v>95.48</v>
      </c>
      <c r="L93" s="214">
        <f>IF(L89=Assumptions!$B$14,L12,L4)</f>
        <v>95.48</v>
      </c>
      <c r="M93" s="214">
        <f>IF(M89=Assumptions!$B$14,M12,M4)</f>
        <v>95.48</v>
      </c>
      <c r="N93" s="214">
        <f>IF(N89=Assumptions!$B$14,N12,N4)</f>
        <v>65.309999999999988</v>
      </c>
      <c r="O93" s="214">
        <f>IF(O89=Assumptions!$B$14,O12,O4)</f>
        <v>58.778999999999996</v>
      </c>
      <c r="P93" s="214">
        <f>IF(P89=Assumptions!$B$14,P12,P4)</f>
        <v>52.248000000000005</v>
      </c>
      <c r="Q93" s="214">
        <f>IF(Q89=Assumptions!$B$14,Q12,Q4)</f>
        <v>45.716999999999999</v>
      </c>
      <c r="R93" s="214">
        <f>IF(R89=Assumptions!$B$14,R12,R4)</f>
        <v>39.186</v>
      </c>
      <c r="S93" s="214">
        <f>IF(S89=Assumptions!$B$14,S12,S4)</f>
        <v>32.654999999999994</v>
      </c>
    </row>
    <row r="94" spans="2:19" ht="14.25" customHeight="1" x14ac:dyDescent="0.2">
      <c r="B94" s="263" t="s">
        <v>562</v>
      </c>
      <c r="C94" s="182" t="s">
        <v>563</v>
      </c>
      <c r="D94" s="184"/>
      <c r="E94" s="184"/>
      <c r="F94" s="186" t="s">
        <v>564</v>
      </c>
      <c r="G94" s="186" t="s">
        <v>170</v>
      </c>
      <c r="H94" s="214">
        <f>IF(H89=$C$87,(H35-Assumptions!$D$5)*Assumptions!$E$6*H91,0)</f>
        <v>0</v>
      </c>
      <c r="I94" s="214">
        <f>IF(I89=$C$87,(I35-Assumptions!$D$5)*Assumptions!$E$6*I91,0)</f>
        <v>0</v>
      </c>
      <c r="J94" s="214">
        <f>IF(J89=$C$87,(J35-Assumptions!$D$5)*Assumptions!$E$6*J91,0)</f>
        <v>0</v>
      </c>
      <c r="K94" s="214">
        <f>IF(K89=$C$87,(K35-Assumptions!$D$5)*Assumptions!$E$6*K91,0)</f>
        <v>0</v>
      </c>
      <c r="L94" s="214">
        <f>IF(L89=$C$87,(L35-Assumptions!$D$5)*Assumptions!$E$6*L91,0)</f>
        <v>0</v>
      </c>
      <c r="M94" s="214">
        <f>IF(M89=$C$87,(M35-Assumptions!$D$5)*Assumptions!$E$6*M91,0)</f>
        <v>0</v>
      </c>
      <c r="N94" s="214">
        <f>IF(N89=$C$87,(N35-Assumptions!$D$5)*Assumptions!$E$6*N91,0)</f>
        <v>-1.2097473883161516</v>
      </c>
      <c r="O94" s="214">
        <f>IF(O89=$C$87,(O35-Assumptions!$D$5)*Assumptions!$E$6*O91,0)</f>
        <v>-1.4716254192439864</v>
      </c>
      <c r="P94" s="214">
        <f>IF(P89=$C$87,(P35-Assumptions!$D$5)*Assumptions!$E$6*P91,0)</f>
        <v>-1.7335034501718209</v>
      </c>
      <c r="Q94" s="214">
        <f>IF(Q89=$C$87,(Q35-Assumptions!$D$5)*Assumptions!$E$6*Q91,0)</f>
        <v>-1.9953814810996566</v>
      </c>
      <c r="R94" s="214">
        <f>IF(R89=$C$87,(R35-Assumptions!$D$5)*Assumptions!$E$6*R91,0)</f>
        <v>-2.2572595120274914</v>
      </c>
      <c r="S94" s="214">
        <f>IF(S89=$C$87,(S35-Assumptions!$D$5)*Assumptions!$E$6*S91,0)</f>
        <v>-2.5191375429553262</v>
      </c>
    </row>
    <row r="95" spans="2:19" ht="14.25" customHeight="1" x14ac:dyDescent="0.2">
      <c r="B95" s="181"/>
      <c r="C95" s="182" t="s">
        <v>553</v>
      </c>
      <c r="D95" s="184"/>
      <c r="E95" s="184" t="s">
        <v>565</v>
      </c>
      <c r="F95" s="186" t="s">
        <v>566</v>
      </c>
      <c r="G95" s="186" t="s">
        <v>468</v>
      </c>
      <c r="H95" s="214">
        <f t="shared" ref="H95:S95" si="30">H94*H$6</f>
        <v>0</v>
      </c>
      <c r="I95" s="214">
        <f t="shared" si="30"/>
        <v>0</v>
      </c>
      <c r="J95" s="214">
        <f t="shared" si="30"/>
        <v>0</v>
      </c>
      <c r="K95" s="214">
        <f t="shared" si="30"/>
        <v>0</v>
      </c>
      <c r="L95" s="214">
        <f t="shared" si="30"/>
        <v>0</v>
      </c>
      <c r="M95" s="214">
        <f t="shared" si="30"/>
        <v>0</v>
      </c>
      <c r="N95" s="214">
        <f t="shared" si="30"/>
        <v>-120.97473883161516</v>
      </c>
      <c r="O95" s="214">
        <f t="shared" si="30"/>
        <v>-147.16254192439862</v>
      </c>
      <c r="P95" s="214">
        <f t="shared" si="30"/>
        <v>-173.35034501718209</v>
      </c>
      <c r="Q95" s="214">
        <f t="shared" si="30"/>
        <v>-199.53814810996568</v>
      </c>
      <c r="R95" s="214">
        <f t="shared" si="30"/>
        <v>-225.72595120274914</v>
      </c>
      <c r="S95" s="214">
        <f t="shared" si="30"/>
        <v>-251.91375429553261</v>
      </c>
    </row>
    <row r="96" spans="2:19" ht="14.25" customHeight="1" x14ac:dyDescent="0.2">
      <c r="B96" s="212" t="s">
        <v>524</v>
      </c>
      <c r="C96" s="250" t="s">
        <v>525</v>
      </c>
      <c r="D96" s="252"/>
      <c r="E96" s="252" t="s">
        <v>526</v>
      </c>
      <c r="F96" s="253"/>
      <c r="G96" s="253" t="s">
        <v>468</v>
      </c>
      <c r="H96" s="254">
        <f>H16*Assumptions!$E$6*1000</f>
        <v>602.10857142857139</v>
      </c>
      <c r="I96" s="254">
        <f>I16*Assumptions!$E$6*1000</f>
        <v>593.28</v>
      </c>
      <c r="J96" s="254">
        <f>J16*Assumptions!$E$6*1000</f>
        <v>587.92399999999998</v>
      </c>
      <c r="K96" s="254">
        <f>K16*Assumptions!$E$6*1000</f>
        <v>582.5680000000001</v>
      </c>
      <c r="L96" s="254">
        <f>L16*Assumptions!$E$6*1000</f>
        <v>577.21199999999999</v>
      </c>
      <c r="M96" s="254">
        <f>M16*Assumptions!$E$6*1000</f>
        <v>571.85599999999999</v>
      </c>
      <c r="N96" s="254">
        <f>N16*Assumptions!$E$6*1000</f>
        <v>566.5</v>
      </c>
      <c r="O96" s="254">
        <f>O16*Assumptions!$E$6*1000</f>
        <v>561.14400000000001</v>
      </c>
      <c r="P96" s="254">
        <f>P16*Assumptions!$E$6*1000</f>
        <v>555.78800000000001</v>
      </c>
      <c r="Q96" s="254">
        <f>Q16*Assumptions!$E$6*1000</f>
        <v>550.43200000000002</v>
      </c>
      <c r="R96" s="254">
        <f>R16*Assumptions!$E$6*1000</f>
        <v>545.07600000000002</v>
      </c>
      <c r="S96" s="254">
        <f>S16*Assumptions!$E$6*1000</f>
        <v>539.72</v>
      </c>
    </row>
    <row r="97" spans="2:19" ht="14.25" customHeight="1" x14ac:dyDescent="0.2">
      <c r="B97" s="181"/>
      <c r="C97" s="250" t="s">
        <v>567</v>
      </c>
      <c r="D97" s="252"/>
      <c r="E97" s="252" t="s">
        <v>568</v>
      </c>
      <c r="F97" s="253"/>
      <c r="G97" s="253" t="s">
        <v>468</v>
      </c>
      <c r="H97" s="254">
        <f t="shared" ref="H97:S97" si="31">H90</f>
        <v>121.77236800000009</v>
      </c>
      <c r="I97" s="254">
        <f t="shared" si="31"/>
        <v>150.98646400000007</v>
      </c>
      <c r="J97" s="254">
        <f t="shared" si="31"/>
        <v>215.25747520000002</v>
      </c>
      <c r="K97" s="254">
        <f t="shared" si="31"/>
        <v>279.52848640000019</v>
      </c>
      <c r="L97" s="254">
        <f t="shared" si="31"/>
        <v>343.79949760000011</v>
      </c>
      <c r="M97" s="254">
        <f t="shared" si="31"/>
        <v>408.07050880000008</v>
      </c>
      <c r="N97" s="254">
        <f t="shared" si="31"/>
        <v>553.38696735395217</v>
      </c>
      <c r="O97" s="254">
        <f t="shared" si="31"/>
        <v>661.39634226804139</v>
      </c>
      <c r="P97" s="254">
        <f t="shared" si="31"/>
        <v>765.2117058419243</v>
      </c>
      <c r="Q97" s="254">
        <f t="shared" si="31"/>
        <v>864.83305807560123</v>
      </c>
      <c r="R97" s="254">
        <f t="shared" si="31"/>
        <v>960.26039896907207</v>
      </c>
      <c r="S97" s="254">
        <f t="shared" si="31"/>
        <v>1051.4937285223368</v>
      </c>
    </row>
    <row r="98" spans="2:19" ht="14.25" customHeight="1" x14ac:dyDescent="0.2">
      <c r="B98" s="181"/>
      <c r="C98" s="250" t="s">
        <v>529</v>
      </c>
      <c r="D98" s="252"/>
      <c r="E98" s="252" t="s">
        <v>568</v>
      </c>
      <c r="F98" s="253"/>
      <c r="G98" s="253" t="s">
        <v>468</v>
      </c>
      <c r="H98" s="254">
        <f t="shared" ref="H98:S98" si="32">H92</f>
        <v>49.971479999999964</v>
      </c>
      <c r="I98" s="254">
        <f t="shared" si="32"/>
        <v>49.971479999999964</v>
      </c>
      <c r="J98" s="254">
        <f t="shared" si="32"/>
        <v>49.971480000000021</v>
      </c>
      <c r="K98" s="254">
        <f t="shared" si="32"/>
        <v>49.971479999999964</v>
      </c>
      <c r="L98" s="254">
        <f t="shared" si="32"/>
        <v>49.971480000000021</v>
      </c>
      <c r="M98" s="254">
        <f t="shared" si="32"/>
        <v>49.971480000000021</v>
      </c>
      <c r="N98" s="254">
        <f t="shared" si="32"/>
        <v>49.971479999999936</v>
      </c>
      <c r="O98" s="254">
        <f t="shared" si="32"/>
        <v>49.971479999999993</v>
      </c>
      <c r="P98" s="254">
        <f t="shared" si="32"/>
        <v>49.971479999999993</v>
      </c>
      <c r="Q98" s="254">
        <f t="shared" si="32"/>
        <v>49.971479999999993</v>
      </c>
      <c r="R98" s="254">
        <f t="shared" si="32"/>
        <v>49.971479999999993</v>
      </c>
      <c r="S98" s="254">
        <f t="shared" si="32"/>
        <v>49.971479999999993</v>
      </c>
    </row>
    <row r="99" spans="2:19" ht="15" customHeight="1" x14ac:dyDescent="0.2">
      <c r="B99" s="181"/>
      <c r="C99" s="250" t="s">
        <v>553</v>
      </c>
      <c r="D99" s="252"/>
      <c r="E99" s="252"/>
      <c r="F99" s="253"/>
      <c r="G99" s="253" t="s">
        <v>468</v>
      </c>
      <c r="H99" s="254">
        <f t="shared" ref="H99:S99" si="33">H95</f>
        <v>0</v>
      </c>
      <c r="I99" s="254">
        <f t="shared" si="33"/>
        <v>0</v>
      </c>
      <c r="J99" s="254">
        <f t="shared" si="33"/>
        <v>0</v>
      </c>
      <c r="K99" s="254">
        <f t="shared" si="33"/>
        <v>0</v>
      </c>
      <c r="L99" s="254">
        <f t="shared" si="33"/>
        <v>0</v>
      </c>
      <c r="M99" s="254">
        <f t="shared" si="33"/>
        <v>0</v>
      </c>
      <c r="N99" s="254">
        <f t="shared" si="33"/>
        <v>-120.97473883161516</v>
      </c>
      <c r="O99" s="254">
        <f t="shared" si="33"/>
        <v>-147.16254192439862</v>
      </c>
      <c r="P99" s="254">
        <f t="shared" si="33"/>
        <v>-173.35034501718209</v>
      </c>
      <c r="Q99" s="254">
        <f t="shared" si="33"/>
        <v>-199.53814810996568</v>
      </c>
      <c r="R99" s="254">
        <f t="shared" si="33"/>
        <v>-225.72595120274914</v>
      </c>
      <c r="S99" s="254">
        <f t="shared" si="33"/>
        <v>-251.91375429553261</v>
      </c>
    </row>
    <row r="100" spans="2:19" ht="15" customHeight="1" thickBot="1" x14ac:dyDescent="0.25">
      <c r="B100" s="189"/>
      <c r="C100" s="255" t="s">
        <v>155</v>
      </c>
      <c r="D100" s="256"/>
      <c r="E100" s="256"/>
      <c r="F100" s="257" t="s">
        <v>549</v>
      </c>
      <c r="G100" s="257" t="s">
        <v>468</v>
      </c>
      <c r="H100" s="258">
        <f t="shared" ref="H100:S100" si="34">SUM(H96:H99)</f>
        <v>773.85241942857147</v>
      </c>
      <c r="I100" s="258">
        <f t="shared" si="34"/>
        <v>794.23794399999997</v>
      </c>
      <c r="J100" s="258">
        <f t="shared" si="34"/>
        <v>853.15295520000006</v>
      </c>
      <c r="K100" s="258">
        <f t="shared" si="34"/>
        <v>912.06796640000016</v>
      </c>
      <c r="L100" s="258">
        <f t="shared" si="34"/>
        <v>970.98297760000014</v>
      </c>
      <c r="M100" s="258">
        <f t="shared" si="34"/>
        <v>1029.8979888000001</v>
      </c>
      <c r="N100" s="258">
        <f t="shared" si="34"/>
        <v>1048.8837085223367</v>
      </c>
      <c r="O100" s="258">
        <f t="shared" si="34"/>
        <v>1125.3492803436429</v>
      </c>
      <c r="P100" s="258">
        <f t="shared" si="34"/>
        <v>1197.6208408247423</v>
      </c>
      <c r="Q100" s="258">
        <f t="shared" si="34"/>
        <v>1265.6983899656354</v>
      </c>
      <c r="R100" s="258">
        <f t="shared" si="34"/>
        <v>1329.5819277663227</v>
      </c>
      <c r="S100" s="258">
        <f t="shared" si="34"/>
        <v>1389.2714542268041</v>
      </c>
    </row>
    <row r="101" spans="2:19" ht="14.25" customHeight="1" thickTop="1" x14ac:dyDescent="0.2">
      <c r="C101" s="259"/>
      <c r="D101" s="200"/>
      <c r="E101" s="200"/>
      <c r="F101" s="264"/>
      <c r="H101" s="196"/>
      <c r="I101" s="196"/>
      <c r="J101" s="196"/>
      <c r="K101" s="196"/>
      <c r="L101" s="196"/>
      <c r="M101" s="196"/>
      <c r="N101" s="196"/>
      <c r="O101" s="196"/>
      <c r="P101" s="196"/>
      <c r="Q101" s="196"/>
      <c r="R101" s="196"/>
      <c r="S101" s="196"/>
    </row>
    <row r="102" spans="2:19" ht="14.25" customHeight="1" x14ac:dyDescent="0.2">
      <c r="C102" s="163" t="s">
        <v>151</v>
      </c>
      <c r="D102" s="165"/>
      <c r="E102" s="165"/>
      <c r="F102" s="166"/>
      <c r="G102" s="166"/>
      <c r="H102" s="167"/>
      <c r="I102" s="167"/>
      <c r="J102" s="167"/>
      <c r="K102" s="167"/>
      <c r="L102" s="167"/>
      <c r="M102" s="167"/>
      <c r="N102" s="167"/>
      <c r="O102" s="167"/>
      <c r="P102" s="167"/>
      <c r="Q102" s="167"/>
      <c r="R102" s="167"/>
      <c r="S102" s="167"/>
    </row>
    <row r="103" spans="2:19" ht="14.25" customHeight="1" x14ac:dyDescent="0.2">
      <c r="C103" s="202" t="s">
        <v>436</v>
      </c>
      <c r="D103" s="204" t="s">
        <v>437</v>
      </c>
      <c r="E103" s="204" t="s">
        <v>422</v>
      </c>
      <c r="F103" s="204" t="s">
        <v>423</v>
      </c>
      <c r="G103" s="205" t="s">
        <v>159</v>
      </c>
      <c r="H103" s="206">
        <v>2029</v>
      </c>
      <c r="I103" s="206">
        <v>2030</v>
      </c>
      <c r="J103" s="206">
        <v>2031</v>
      </c>
      <c r="K103" s="206">
        <v>2032</v>
      </c>
      <c r="L103" s="206">
        <v>2033</v>
      </c>
      <c r="M103" s="206">
        <v>2034</v>
      </c>
      <c r="N103" s="206">
        <v>2035</v>
      </c>
      <c r="O103" s="207">
        <v>2036</v>
      </c>
      <c r="P103" s="207">
        <v>2037</v>
      </c>
      <c r="Q103" s="206">
        <v>2038</v>
      </c>
      <c r="R103" s="206">
        <v>2039</v>
      </c>
      <c r="S103" s="206">
        <v>2040</v>
      </c>
    </row>
    <row r="104" spans="2:19" ht="14.25" customHeight="1" x14ac:dyDescent="0.2">
      <c r="B104" s="265" t="s">
        <v>510</v>
      </c>
      <c r="C104" s="175" t="s">
        <v>569</v>
      </c>
      <c r="D104" s="177"/>
      <c r="E104" s="177" t="s">
        <v>570</v>
      </c>
      <c r="F104" s="179" t="s">
        <v>571</v>
      </c>
      <c r="G104" s="179" t="s">
        <v>468</v>
      </c>
      <c r="H104" s="211">
        <f>Assumptions!E14*H37</f>
        <v>0</v>
      </c>
      <c r="I104" s="211">
        <f>Assumptions!F14*I37</f>
        <v>0</v>
      </c>
      <c r="J104" s="211">
        <f>Assumptions!G14*J37</f>
        <v>0</v>
      </c>
      <c r="K104" s="211">
        <f>Assumptions!H14*K37</f>
        <v>0</v>
      </c>
      <c r="L104" s="211">
        <f>Assumptions!I14*L37</f>
        <v>0</v>
      </c>
      <c r="M104" s="211">
        <f>Assumptions!J14*M37</f>
        <v>0</v>
      </c>
      <c r="N104" s="211">
        <f>Assumptions!K14*N37</f>
        <v>0</v>
      </c>
      <c r="O104" s="211">
        <f>Assumptions!L14*O37</f>
        <v>0</v>
      </c>
      <c r="P104" s="211">
        <f>Assumptions!M14*P37</f>
        <v>0</v>
      </c>
      <c r="Q104" s="211">
        <f>Assumptions!N14*Q37</f>
        <v>0</v>
      </c>
      <c r="R104" s="211">
        <f>Assumptions!O14*R37</f>
        <v>0</v>
      </c>
      <c r="S104" s="211">
        <f>Assumptions!P14*S37</f>
        <v>0</v>
      </c>
    </row>
    <row r="105" spans="2:19" ht="14.25" customHeight="1" x14ac:dyDescent="0.2">
      <c r="B105" s="249" t="s">
        <v>522</v>
      </c>
      <c r="C105" s="182" t="s">
        <v>572</v>
      </c>
      <c r="D105" s="184"/>
      <c r="E105" s="184" t="s">
        <v>573</v>
      </c>
      <c r="F105" s="186" t="s">
        <v>574</v>
      </c>
      <c r="G105" s="186" t="s">
        <v>460</v>
      </c>
      <c r="H105" s="214">
        <f>IF($D$8="Yes",H$38*H$48,Assumptions!E$15*H$38)</f>
        <v>0</v>
      </c>
      <c r="I105" s="214">
        <f>IF($D$8="Yes",I$38*I$48,Assumptions!F$15*I$38)</f>
        <v>0</v>
      </c>
      <c r="J105" s="214">
        <f>IF($D$8="Yes",J$38*J$48,Assumptions!G$15*J$38)</f>
        <v>0</v>
      </c>
      <c r="K105" s="214">
        <f>IF($D$8="Yes",K$38*K$48,Assumptions!H$15*K$38)</f>
        <v>0</v>
      </c>
      <c r="L105" s="214">
        <f>IF($D$8="Yes",L$38*L$48,Assumptions!I$15*L$38)</f>
        <v>0</v>
      </c>
      <c r="M105" s="214">
        <f>IF($D$8="Yes",M$38*M$48,Assumptions!J$15*M$38)</f>
        <v>0</v>
      </c>
      <c r="N105" s="214">
        <f>IF($D$8="Yes",N$38*N$48,Assumptions!K$15*N$38)</f>
        <v>0</v>
      </c>
      <c r="O105" s="214">
        <f>IF($D$8="Yes",O$38*O$48,Assumptions!L$15*O$38)</f>
        <v>0</v>
      </c>
      <c r="P105" s="214">
        <f>IF($D$8="Yes",P$38*P$48,Assumptions!M$15*P$38)</f>
        <v>0</v>
      </c>
      <c r="Q105" s="214">
        <f>IF($D$8="Yes",Q$38*Q$48,Assumptions!N$15*Q$38)</f>
        <v>0</v>
      </c>
      <c r="R105" s="214">
        <f>IF($D$8="Yes",R$38*R$48,Assumptions!O$15*R$38)</f>
        <v>0</v>
      </c>
      <c r="S105" s="214">
        <f>IF($D$8="Yes",S$38*S$48,Assumptions!P$15*S$38)</f>
        <v>0</v>
      </c>
    </row>
    <row r="106" spans="2:19" ht="14.25" customHeight="1" x14ac:dyDescent="0.2">
      <c r="B106" s="249" t="s">
        <v>536</v>
      </c>
      <c r="C106" s="182" t="s">
        <v>540</v>
      </c>
      <c r="D106" s="184"/>
      <c r="E106" s="184" t="s">
        <v>541</v>
      </c>
      <c r="F106" s="186" t="s">
        <v>542</v>
      </c>
      <c r="G106" s="186" t="s">
        <v>543</v>
      </c>
      <c r="H106" s="214">
        <f t="shared" ref="H106:S106" si="35">H39*H48</f>
        <v>-566.36231340074232</v>
      </c>
      <c r="I106" s="214">
        <f t="shared" si="35"/>
        <v>-573.14841790464607</v>
      </c>
      <c r="J106" s="214">
        <f t="shared" si="35"/>
        <v>-554.34285099571991</v>
      </c>
      <c r="K106" s="214">
        <f t="shared" si="35"/>
        <v>-533.20010148479673</v>
      </c>
      <c r="L106" s="214">
        <f t="shared" si="35"/>
        <v>-512.86968643098419</v>
      </c>
      <c r="M106" s="214">
        <f t="shared" si="35"/>
        <v>-486.94433050435106</v>
      </c>
      <c r="N106" s="214">
        <f t="shared" si="35"/>
        <v>-525.96033660561534</v>
      </c>
      <c r="O106" s="214">
        <f t="shared" si="35"/>
        <v>-475.52566984592795</v>
      </c>
      <c r="P106" s="214">
        <f t="shared" si="35"/>
        <v>-408.91906400000016</v>
      </c>
      <c r="Q106" s="214">
        <f t="shared" si="35"/>
        <v>-306.66972800000002</v>
      </c>
      <c r="R106" s="214">
        <f t="shared" si="35"/>
        <v>-204.42039200000005</v>
      </c>
      <c r="S106" s="214">
        <f t="shared" si="35"/>
        <v>-102.17105599999995</v>
      </c>
    </row>
    <row r="107" spans="2:19" ht="14.25" customHeight="1" x14ac:dyDescent="0.2">
      <c r="B107" s="263" t="s">
        <v>562</v>
      </c>
      <c r="C107" s="182" t="s">
        <v>563</v>
      </c>
      <c r="D107" s="184"/>
      <c r="E107" s="184"/>
      <c r="F107" s="186" t="s">
        <v>575</v>
      </c>
      <c r="G107" s="186" t="s">
        <v>170</v>
      </c>
      <c r="H107" s="214">
        <f>(H35-Assumptions!$D$5)*Assumptions!$E$6</f>
        <v>-3.0611600000000001</v>
      </c>
      <c r="I107" s="214">
        <f>(I35-Assumptions!$D$5)*Assumptions!$E$6</f>
        <v>-3.0611600000000001</v>
      </c>
      <c r="J107" s="214">
        <f>(J35-Assumptions!$D$5)*Assumptions!$E$6</f>
        <v>-3.0611600000000001</v>
      </c>
      <c r="K107" s="214">
        <f>(K35-Assumptions!$D$5)*Assumptions!$E$6</f>
        <v>-3.0611600000000001</v>
      </c>
      <c r="L107" s="214">
        <f>(L35-Assumptions!$D$5)*Assumptions!$E$6</f>
        <v>-3.0611600000000001</v>
      </c>
      <c r="M107" s="214">
        <f>(M35-Assumptions!$D$5)*Assumptions!$E$6</f>
        <v>-3.0611600000000001</v>
      </c>
      <c r="N107" s="214">
        <f>(N35-Assumptions!$D$5)*Assumptions!$E$6</f>
        <v>-3.2671600000000001</v>
      </c>
      <c r="O107" s="214">
        <f>(O35-Assumptions!$D$5)*Assumptions!$E$6</f>
        <v>-3.2671600000000001</v>
      </c>
      <c r="P107" s="214">
        <f>(P35-Assumptions!$D$5)*Assumptions!$E$6</f>
        <v>-3.2671600000000001</v>
      </c>
      <c r="Q107" s="214">
        <f>(Q35-Assumptions!$D$5)*Assumptions!$E$6</f>
        <v>-3.2671600000000001</v>
      </c>
      <c r="R107" s="214">
        <f>(R35-Assumptions!$D$5)*Assumptions!$E$6</f>
        <v>-3.2671600000000001</v>
      </c>
      <c r="S107" s="214">
        <f>(S35-Assumptions!$D$5)*Assumptions!$E$6</f>
        <v>-3.2671600000000001</v>
      </c>
    </row>
    <row r="108" spans="2:19" ht="14.25" customHeight="1" x14ac:dyDescent="0.2">
      <c r="B108" s="266"/>
      <c r="C108" s="182" t="s">
        <v>553</v>
      </c>
      <c r="D108" s="184"/>
      <c r="E108" s="184" t="s">
        <v>565</v>
      </c>
      <c r="F108" s="186" t="s">
        <v>566</v>
      </c>
      <c r="G108" s="186" t="s">
        <v>468</v>
      </c>
      <c r="H108" s="214">
        <f t="shared" ref="H108:S108" si="36">H107*H$6</f>
        <v>-306.11599999999999</v>
      </c>
      <c r="I108" s="214">
        <f t="shared" si="36"/>
        <v>-306.11599999999999</v>
      </c>
      <c r="J108" s="214">
        <f t="shared" si="36"/>
        <v>-306.11599999999999</v>
      </c>
      <c r="K108" s="214">
        <f t="shared" si="36"/>
        <v>-306.11599999999999</v>
      </c>
      <c r="L108" s="214">
        <f t="shared" si="36"/>
        <v>-306.11599999999999</v>
      </c>
      <c r="M108" s="214">
        <f t="shared" si="36"/>
        <v>-306.11599999999999</v>
      </c>
      <c r="N108" s="214">
        <f>N107*N$6</f>
        <v>-326.71600000000001</v>
      </c>
      <c r="O108" s="214">
        <f t="shared" si="36"/>
        <v>-326.71600000000001</v>
      </c>
      <c r="P108" s="214">
        <f t="shared" si="36"/>
        <v>-326.71600000000001</v>
      </c>
      <c r="Q108" s="214">
        <f t="shared" si="36"/>
        <v>-326.71600000000001</v>
      </c>
      <c r="R108" s="214">
        <f t="shared" si="36"/>
        <v>-326.71600000000001</v>
      </c>
      <c r="S108" s="214">
        <f t="shared" si="36"/>
        <v>-326.71600000000001</v>
      </c>
    </row>
    <row r="109" spans="2:19" ht="14.25" customHeight="1" x14ac:dyDescent="0.2">
      <c r="B109" s="212" t="s">
        <v>524</v>
      </c>
      <c r="C109" s="250" t="s">
        <v>152</v>
      </c>
      <c r="D109" s="252"/>
      <c r="E109" s="184" t="s">
        <v>526</v>
      </c>
      <c r="F109" s="186"/>
      <c r="G109" s="253" t="s">
        <v>468</v>
      </c>
      <c r="H109" s="267">
        <f>H40*Assumptions!$E$6*1000</f>
        <v>2276.5942857142859</v>
      </c>
      <c r="I109" s="267">
        <f>I40*Assumptions!$E$6*1000</f>
        <v>2218.62</v>
      </c>
      <c r="J109" s="267">
        <f>J40*Assumptions!$E$6*1000</f>
        <v>2187.1019999999999</v>
      </c>
      <c r="K109" s="267">
        <f>K40*Assumptions!$E$6*1000</f>
        <v>2155.5840000000003</v>
      </c>
      <c r="L109" s="267">
        <f>L40*Assumptions!$E$6*1000</f>
        <v>2124.0659999999998</v>
      </c>
      <c r="M109" s="267">
        <f>M40*Assumptions!$E$6*1000</f>
        <v>2092.5479999999998</v>
      </c>
      <c r="N109" s="267">
        <f>N40*Assumptions!$E$6*1000</f>
        <v>2061.0300000000002</v>
      </c>
      <c r="O109" s="267">
        <f>O40*Assumptions!$E$6*1000</f>
        <v>2029.5120000000004</v>
      </c>
      <c r="P109" s="267">
        <f>P40*Assumptions!$E$6*1000</f>
        <v>1997.9940000000004</v>
      </c>
      <c r="Q109" s="267">
        <f>Q40*Assumptions!$E$6*1000</f>
        <v>1966.4759999999999</v>
      </c>
      <c r="R109" s="267">
        <f>R40*Assumptions!$E$6*1000</f>
        <v>1934.9580000000001</v>
      </c>
      <c r="S109" s="267">
        <f>S40*Assumptions!$E$6*1000</f>
        <v>1903.4400000000003</v>
      </c>
    </row>
    <row r="110" spans="2:19" ht="14.25" customHeight="1" x14ac:dyDescent="0.2">
      <c r="B110" s="212"/>
      <c r="C110" s="250" t="s">
        <v>576</v>
      </c>
      <c r="D110" s="252"/>
      <c r="E110" s="184" t="s">
        <v>577</v>
      </c>
      <c r="F110" s="186"/>
      <c r="G110" s="253" t="s">
        <v>468</v>
      </c>
      <c r="H110" s="267">
        <f t="shared" ref="H110:S112" si="37">H104</f>
        <v>0</v>
      </c>
      <c r="I110" s="267">
        <f t="shared" si="37"/>
        <v>0</v>
      </c>
      <c r="J110" s="267">
        <f t="shared" si="37"/>
        <v>0</v>
      </c>
      <c r="K110" s="267">
        <f t="shared" si="37"/>
        <v>0</v>
      </c>
      <c r="L110" s="267">
        <f t="shared" si="37"/>
        <v>0</v>
      </c>
      <c r="M110" s="267">
        <f t="shared" si="37"/>
        <v>0</v>
      </c>
      <c r="N110" s="267">
        <f t="shared" si="37"/>
        <v>0</v>
      </c>
      <c r="O110" s="267">
        <f t="shared" si="37"/>
        <v>0</v>
      </c>
      <c r="P110" s="267">
        <f t="shared" si="37"/>
        <v>0</v>
      </c>
      <c r="Q110" s="267">
        <f t="shared" si="37"/>
        <v>0</v>
      </c>
      <c r="R110" s="267">
        <f t="shared" si="37"/>
        <v>0</v>
      </c>
      <c r="S110" s="267">
        <f t="shared" si="37"/>
        <v>0</v>
      </c>
    </row>
    <row r="111" spans="2:19" ht="14.25" customHeight="1" x14ac:dyDescent="0.2">
      <c r="B111" s="212"/>
      <c r="C111" s="250" t="s">
        <v>578</v>
      </c>
      <c r="D111" s="252"/>
      <c r="E111" s="184" t="s">
        <v>579</v>
      </c>
      <c r="F111" s="186"/>
      <c r="G111" s="253" t="s">
        <v>468</v>
      </c>
      <c r="H111" s="267">
        <f t="shared" si="37"/>
        <v>0</v>
      </c>
      <c r="I111" s="267">
        <f t="shared" si="37"/>
        <v>0</v>
      </c>
      <c r="J111" s="267">
        <f t="shared" si="37"/>
        <v>0</v>
      </c>
      <c r="K111" s="267">
        <f t="shared" si="37"/>
        <v>0</v>
      </c>
      <c r="L111" s="267">
        <f t="shared" si="37"/>
        <v>0</v>
      </c>
      <c r="M111" s="267">
        <f t="shared" si="37"/>
        <v>0</v>
      </c>
      <c r="N111" s="267">
        <f t="shared" si="37"/>
        <v>0</v>
      </c>
      <c r="O111" s="267">
        <f t="shared" si="37"/>
        <v>0</v>
      </c>
      <c r="P111" s="267">
        <f t="shared" si="37"/>
        <v>0</v>
      </c>
      <c r="Q111" s="267">
        <f t="shared" si="37"/>
        <v>0</v>
      </c>
      <c r="R111" s="267">
        <f t="shared" si="37"/>
        <v>0</v>
      </c>
      <c r="S111" s="267">
        <f t="shared" si="37"/>
        <v>0</v>
      </c>
    </row>
    <row r="112" spans="2:19" ht="14.25" customHeight="1" x14ac:dyDescent="0.2">
      <c r="B112" s="181"/>
      <c r="C112" s="250" t="s">
        <v>548</v>
      </c>
      <c r="D112" s="252"/>
      <c r="E112" s="184"/>
      <c r="F112" s="186"/>
      <c r="G112" s="253" t="s">
        <v>468</v>
      </c>
      <c r="H112" s="267">
        <f t="shared" si="37"/>
        <v>-566.36231340074232</v>
      </c>
      <c r="I112" s="267">
        <f t="shared" si="37"/>
        <v>-573.14841790464607</v>
      </c>
      <c r="J112" s="267">
        <f t="shared" si="37"/>
        <v>-554.34285099571991</v>
      </c>
      <c r="K112" s="267">
        <f t="shared" si="37"/>
        <v>-533.20010148479673</v>
      </c>
      <c r="L112" s="267">
        <f t="shared" si="37"/>
        <v>-512.86968643098419</v>
      </c>
      <c r="M112" s="267">
        <f t="shared" si="37"/>
        <v>-486.94433050435106</v>
      </c>
      <c r="N112" s="267">
        <f t="shared" si="37"/>
        <v>-525.96033660561534</v>
      </c>
      <c r="O112" s="267">
        <f t="shared" si="37"/>
        <v>-475.52566984592795</v>
      </c>
      <c r="P112" s="267">
        <f t="shared" si="37"/>
        <v>-408.91906400000016</v>
      </c>
      <c r="Q112" s="267">
        <f t="shared" si="37"/>
        <v>-306.66972800000002</v>
      </c>
      <c r="R112" s="267">
        <f t="shared" si="37"/>
        <v>-204.42039200000005</v>
      </c>
      <c r="S112" s="267">
        <f t="shared" si="37"/>
        <v>-102.17105599999995</v>
      </c>
    </row>
    <row r="113" spans="2:20" ht="15" customHeight="1" x14ac:dyDescent="0.2">
      <c r="B113" s="212"/>
      <c r="C113" s="250" t="s">
        <v>553</v>
      </c>
      <c r="D113" s="252"/>
      <c r="E113" s="184"/>
      <c r="F113" s="186"/>
      <c r="G113" s="253" t="s">
        <v>468</v>
      </c>
      <c r="H113" s="267">
        <f t="shared" ref="H113:S113" si="38">H108</f>
        <v>-306.11599999999999</v>
      </c>
      <c r="I113" s="267">
        <f t="shared" si="38"/>
        <v>-306.11599999999999</v>
      </c>
      <c r="J113" s="267">
        <f t="shared" si="38"/>
        <v>-306.11599999999999</v>
      </c>
      <c r="K113" s="267">
        <f t="shared" si="38"/>
        <v>-306.11599999999999</v>
      </c>
      <c r="L113" s="267">
        <f t="shared" si="38"/>
        <v>-306.11599999999999</v>
      </c>
      <c r="M113" s="267">
        <f t="shared" si="38"/>
        <v>-306.11599999999999</v>
      </c>
      <c r="N113" s="267">
        <f>N108</f>
        <v>-326.71600000000001</v>
      </c>
      <c r="O113" s="267">
        <f t="shared" si="38"/>
        <v>-326.71600000000001</v>
      </c>
      <c r="P113" s="267">
        <f t="shared" si="38"/>
        <v>-326.71600000000001</v>
      </c>
      <c r="Q113" s="267">
        <f t="shared" si="38"/>
        <v>-326.71600000000001</v>
      </c>
      <c r="R113" s="267">
        <f t="shared" si="38"/>
        <v>-326.71600000000001</v>
      </c>
      <c r="S113" s="267">
        <f t="shared" si="38"/>
        <v>-326.71600000000001</v>
      </c>
    </row>
    <row r="114" spans="2:20" ht="15" customHeight="1" thickBot="1" x14ac:dyDescent="0.25">
      <c r="B114" s="189"/>
      <c r="C114" s="255" t="s">
        <v>156</v>
      </c>
      <c r="D114" s="268"/>
      <c r="E114" s="256"/>
      <c r="F114" s="257" t="s">
        <v>549</v>
      </c>
      <c r="G114" s="257" t="s">
        <v>468</v>
      </c>
      <c r="H114" s="269">
        <f t="shared" ref="H114:S114" si="39">SUM(H109:H113)</f>
        <v>1404.1159723135436</v>
      </c>
      <c r="I114" s="269">
        <f t="shared" si="39"/>
        <v>1339.3555820953538</v>
      </c>
      <c r="J114" s="269">
        <f t="shared" si="39"/>
        <v>1326.6431490042801</v>
      </c>
      <c r="K114" s="269">
        <f t="shared" si="39"/>
        <v>1316.2678985152036</v>
      </c>
      <c r="L114" s="269">
        <f t="shared" si="39"/>
        <v>1305.0803135690157</v>
      </c>
      <c r="M114" s="269">
        <f t="shared" si="39"/>
        <v>1299.4876694956488</v>
      </c>
      <c r="N114" s="269">
        <f t="shared" si="39"/>
        <v>1208.353663394385</v>
      </c>
      <c r="O114" s="269">
        <f t="shared" si="39"/>
        <v>1227.2703301540723</v>
      </c>
      <c r="P114" s="269">
        <f t="shared" si="39"/>
        <v>1262.3589360000001</v>
      </c>
      <c r="Q114" s="269">
        <f t="shared" si="39"/>
        <v>1333.0902719999999</v>
      </c>
      <c r="R114" s="269">
        <f t="shared" si="39"/>
        <v>1403.8216080000002</v>
      </c>
      <c r="S114" s="269">
        <f t="shared" si="39"/>
        <v>1474.5529440000005</v>
      </c>
    </row>
    <row r="115" spans="2:20" ht="14.25" customHeight="1" thickTop="1" x14ac:dyDescent="0.2">
      <c r="I115" s="196"/>
      <c r="J115" s="196"/>
      <c r="K115" s="196"/>
      <c r="L115" s="196"/>
    </row>
    <row r="116" spans="2:20" ht="14.25" customHeight="1" x14ac:dyDescent="0.2">
      <c r="J116" s="196"/>
      <c r="K116" s="196"/>
      <c r="L116" s="196"/>
      <c r="M116" s="196"/>
      <c r="N116" s="196"/>
      <c r="O116" s="196"/>
      <c r="P116" s="196"/>
      <c r="Q116" s="196"/>
      <c r="R116" s="196"/>
      <c r="S116" s="196"/>
      <c r="T116" s="196"/>
    </row>
  </sheetData>
  <pageMargins left="0.7" right="0.7" top="0.75" bottom="0.75" header="0.511811023622047" footer="0.511811023622047"/>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514C847B6290438A76BDD68EA7E83E" ma:contentTypeVersion="22" ma:contentTypeDescription="Create a new document." ma:contentTypeScope="" ma:versionID="97f3e2870e413ded28b56140818493d4">
  <xsd:schema xmlns:xsd="http://www.w3.org/2001/XMLSchema" xmlns:xs="http://www.w3.org/2001/XMLSchema" xmlns:p="http://schemas.microsoft.com/office/2006/metadata/properties" xmlns:ns1="http://schemas.microsoft.com/sharepoint/v3" xmlns:ns2="50fa341e-7769-471c-871c-28185ec8992d" xmlns:ns3="b8dd5285-7517-4a75-a13c-b098ff6af40e" targetNamespace="http://schemas.microsoft.com/office/2006/metadata/properties" ma:root="true" ma:fieldsID="59bd475f80bcdf2a338b231fc40e6791" ns1:_="" ns2:_="" ns3:_="">
    <xsd:import namespace="http://schemas.microsoft.com/sharepoint/v3"/>
    <xsd:import namespace="50fa341e-7769-471c-871c-28185ec8992d"/>
    <xsd:import namespace="b8dd5285-7517-4a75-a13c-b098ff6af40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element ref="ns2: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fa341e-7769-471c-871c-28185ec899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405d3cf-f1b6-4142-bd55-078f49f7cf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Tag" ma:index="28" nillable="true" ma:displayName="Tag" ma:format="Dropdown" ma:internalName="Tag" ma:requiredMultiChoice="true">
      <xsd:complexType>
        <xsd:complexContent>
          <xsd:extension base="dms:MultiChoiceFillIn">
            <xsd:sequence>
              <xsd:element name="Value" maxOccurs="unbounded" minOccurs="0" nillable="true">
                <xsd:simpleType>
                  <xsd:union memberTypes="dms:Text">
                    <xsd:simpleType>
                      <xsd:restriction base="dms:Choice">
                        <xsd:enumeration value="Planes"/>
                        <xsd:enumeration value="Ships"/>
                        <xsd:enumeration value="Nature"/>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dd5285-7517-4a75-a13c-b098ff6af40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0fa341e-7769-471c-871c-28185ec8992d">
      <Terms xmlns="http://schemas.microsoft.com/office/infopath/2007/PartnerControls"/>
    </lcf76f155ced4ddcb4097134ff3c332f>
    <Tag xmlns="50fa341e-7769-471c-871c-28185ec8992d"/>
  </documentManagement>
</p:properties>
</file>

<file path=customXml/itemProps1.xml><?xml version="1.0" encoding="utf-8"?>
<ds:datastoreItem xmlns:ds="http://schemas.openxmlformats.org/officeDocument/2006/customXml" ds:itemID="{8108C761-D712-4D90-B5D9-9B0A7DC0567B}"/>
</file>

<file path=customXml/itemProps2.xml><?xml version="1.0" encoding="utf-8"?>
<ds:datastoreItem xmlns:ds="http://schemas.openxmlformats.org/officeDocument/2006/customXml" ds:itemID="{0DB3E0CC-26DA-43D5-B92E-CF5AE973F970}">
  <ds:schemaRefs>
    <ds:schemaRef ds:uri="http://schemas.microsoft.com/sharepoint/v3/contenttype/forms"/>
  </ds:schemaRefs>
</ds:datastoreItem>
</file>

<file path=customXml/itemProps3.xml><?xml version="1.0" encoding="utf-8"?>
<ds:datastoreItem xmlns:ds="http://schemas.openxmlformats.org/officeDocument/2006/customXml" ds:itemID="{40E8B682-7300-4D31-AF85-D34373D72E29}">
  <ds:schemaRefs>
    <ds:schemaRef ds:uri="http://schemas.openxmlformats.org/package/2006/metadata/core-properties"/>
    <ds:schemaRef ds:uri="6074234b-9a54-42b5-a197-a305fcd02031"/>
    <ds:schemaRef ds:uri="http://www.w3.org/XML/1998/namespace"/>
    <ds:schemaRef ds:uri="e72abe4b-f517-4373-bd03-6e2de50a6953"/>
    <ds:schemaRef ds:uri="http://purl.org/dc/dcmitype/"/>
    <ds:schemaRef ds:uri="http://schemas.microsoft.com/office/2006/documentManagement/types"/>
    <ds:schemaRef ds:uri="http://schemas.microsoft.com/office/infopath/2007/PartnerControls"/>
    <ds:schemaRef ds:uri="http://purl.org/dc/elements/1.1/"/>
    <ds:schemaRef ds:uri="http://schemas.microsoft.com/sharepoint/v3"/>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e4b931d8-a288-4db6-acc7-364bc8042050}" enabled="1" method="Privileged" siteId="{5218c2a1-81cc-40ce-af99-7505143bc2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Input</vt:lpstr>
      <vt:lpstr>Overview</vt:lpstr>
      <vt:lpstr>Assumptions</vt:lpstr>
      <vt:lpstr>Proposals</vt:lpstr>
      <vt:lpstr>Calculation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Bettles</dc:creator>
  <cp:keywords/>
  <dc:description/>
  <cp:lastModifiedBy>Risiana Levie</cp:lastModifiedBy>
  <cp:revision>71</cp:revision>
  <dcterms:created xsi:type="dcterms:W3CDTF">2015-06-05T18:19:34Z</dcterms:created>
  <dcterms:modified xsi:type="dcterms:W3CDTF">2026-07-30T16:01:05Z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0x01010080514C847B6290438A76BDD68EA7E83E</vt:lpwstr>
  </property>
  <property fmtid="{D5CDD505-2E9C-101B-9397-08002B2CF9AE}" pid="3" name="MSIP_Label_454acede-ec1b-4e45-85bd-5642035cb179_ActionId">
    <vt:lpwstr>ac626110-5e49-4aa7-a793-c310f0a5d45f</vt:lpwstr>
  </property>
  <property fmtid="{D5CDD505-2E9C-101B-9397-08002B2CF9AE}" pid="4" name="MSIP_Label_454acede-ec1b-4e45-85bd-5642035cb179_ContentBits">
    <vt:lpwstr>0</vt:lpwstr>
  </property>
  <property fmtid="{D5CDD505-2E9C-101B-9397-08002B2CF9AE}" pid="5" name="MSIP_Label_454acede-ec1b-4e45-85bd-5642035cb179_Enabled">
    <vt:lpwstr>true</vt:lpwstr>
  </property>
  <property fmtid="{D5CDD505-2E9C-101B-9397-08002B2CF9AE}" pid="6" name="MSIP_Label_454acede-ec1b-4e45-85bd-5642035cb179_Method">
    <vt:lpwstr>Standard</vt:lpwstr>
  </property>
  <property fmtid="{D5CDD505-2E9C-101B-9397-08002B2CF9AE}" pid="7" name="MSIP_Label_454acede-ec1b-4e45-85bd-5642035cb179_Name">
    <vt:lpwstr>Default</vt:lpwstr>
  </property>
  <property fmtid="{D5CDD505-2E9C-101B-9397-08002B2CF9AE}" pid="8" name="MSIP_Label_454acede-ec1b-4e45-85bd-5642035cb179_SetDate">
    <vt:lpwstr>2026-05-06T13:00:16Z</vt:lpwstr>
  </property>
  <property fmtid="{D5CDD505-2E9C-101B-9397-08002B2CF9AE}" pid="9" name="MSIP_Label_454acede-ec1b-4e45-85bd-5642035cb179_SiteId">
    <vt:lpwstr>43add221-db5c-489b-8198-44240765b4f3</vt:lpwstr>
  </property>
  <property fmtid="{D5CDD505-2E9C-101B-9397-08002B2CF9AE}" pid="10" name="MSIP_Label_454acede-ec1b-4e45-85bd-5642035cb179_Tag">
    <vt:lpwstr>10, 3, 0, 1</vt:lpwstr>
  </property>
  <property fmtid="{D5CDD505-2E9C-101B-9397-08002B2CF9AE}" pid="11" name="MediaServiceImageTags">
    <vt:lpwstr/>
  </property>
</Properties>
</file>